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975" windowWidth="15600" windowHeight="63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X27" i="7" l="1"/>
  <c r="X28" i="7"/>
  <c r="X29" i="7"/>
  <c r="X30" i="7"/>
  <c r="X31" i="7"/>
  <c r="X32" i="7"/>
  <c r="W27" i="7"/>
  <c r="W28" i="7"/>
  <c r="W29" i="7"/>
  <c r="W30" i="7"/>
  <c r="W31" i="7"/>
  <c r="W32" i="7"/>
  <c r="V27" i="7"/>
  <c r="V28" i="7"/>
  <c r="V29" i="7"/>
  <c r="V30" i="7"/>
  <c r="V31" i="7"/>
  <c r="V32" i="7"/>
  <c r="U27" i="7"/>
  <c r="U28" i="7"/>
  <c r="U29" i="7"/>
  <c r="U30" i="7"/>
  <c r="U31" i="7"/>
  <c r="U32" i="7"/>
  <c r="T27" i="7"/>
  <c r="T28" i="7"/>
  <c r="T29" i="7"/>
  <c r="T30" i="7"/>
  <c r="T31" i="7"/>
  <c r="T32" i="7"/>
  <c r="S27" i="7"/>
  <c r="S28" i="7"/>
  <c r="S29" i="7"/>
  <c r="S30" i="7"/>
  <c r="S31" i="7"/>
  <c r="S32" i="7"/>
  <c r="R27" i="7"/>
  <c r="R28" i="7"/>
  <c r="R29" i="7"/>
  <c r="R30" i="7"/>
  <c r="R31" i="7"/>
  <c r="R32" i="7"/>
  <c r="Q27" i="7"/>
  <c r="Q28" i="7"/>
  <c r="Q29" i="7"/>
  <c r="Q30" i="7"/>
  <c r="Q31" i="7"/>
  <c r="Q32" i="7"/>
  <c r="P27" i="7"/>
  <c r="P28" i="7"/>
  <c r="P29" i="7"/>
  <c r="P30" i="7"/>
  <c r="P31" i="7"/>
  <c r="P32" i="7"/>
  <c r="O27" i="7"/>
  <c r="O28" i="7"/>
  <c r="O29" i="7"/>
  <c r="O30" i="7"/>
  <c r="O31" i="7"/>
  <c r="O32" i="7"/>
  <c r="N27" i="7"/>
  <c r="N28" i="7"/>
  <c r="N29" i="7"/>
  <c r="N30" i="7"/>
  <c r="N31" i="7"/>
  <c r="N32" i="7"/>
  <c r="M27" i="7"/>
  <c r="M28" i="7"/>
  <c r="M29" i="7"/>
  <c r="M30" i="7"/>
  <c r="M31" i="7"/>
  <c r="M32" i="7"/>
  <c r="L27" i="7"/>
  <c r="L28" i="7"/>
  <c r="L29" i="7"/>
  <c r="L30" i="7"/>
  <c r="L31" i="7"/>
  <c r="L32" i="7"/>
  <c r="K27" i="7"/>
  <c r="K28" i="7"/>
  <c r="K29" i="7"/>
  <c r="K30" i="7"/>
  <c r="K31" i="7"/>
  <c r="K32" i="7"/>
  <c r="J27" i="7"/>
  <c r="J28" i="7"/>
  <c r="J29" i="7"/>
  <c r="J30" i="7"/>
  <c r="J31" i="7"/>
  <c r="J32" i="7"/>
  <c r="I27" i="7"/>
  <c r="I28" i="7"/>
  <c r="I29" i="7"/>
  <c r="I30" i="7"/>
  <c r="I31" i="7"/>
  <c r="I32" i="7"/>
  <c r="H27" i="7"/>
  <c r="H28" i="7"/>
  <c r="H29" i="7"/>
  <c r="H30" i="7"/>
  <c r="H31" i="7"/>
  <c r="H32" i="7"/>
  <c r="F32" i="7"/>
  <c r="F30" i="7"/>
  <c r="F31" i="7"/>
  <c r="F29" i="7"/>
  <c r="F28" i="7"/>
  <c r="F27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N21" i="18"/>
  <c r="J21" i="18"/>
  <c r="M21" i="18"/>
  <c r="I21" i="18"/>
  <c r="L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D56" i="18"/>
  <c r="J55" i="18" s="1"/>
  <c r="E31" i="18"/>
  <c r="D66" i="18"/>
  <c r="K65" i="18" s="1"/>
  <c r="K55" i="18"/>
  <c r="G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5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6" i="7" l="1"/>
  <c r="L26" i="7"/>
  <c r="H26" i="7"/>
  <c r="N25" i="7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N12" i="7"/>
  <c r="K25" i="7"/>
  <c r="O23" i="7"/>
  <c r="M22" i="7"/>
  <c r="F21" i="7"/>
  <c r="K19" i="7"/>
  <c r="K17" i="7"/>
  <c r="O15" i="7"/>
  <c r="M14" i="7"/>
  <c r="F13" i="7"/>
  <c r="O26" i="7"/>
  <c r="K26" i="7"/>
  <c r="F26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J12" i="7"/>
  <c r="O25" i="7"/>
  <c r="K23" i="7"/>
  <c r="I22" i="7"/>
  <c r="M20" i="7"/>
  <c r="F19" i="7"/>
  <c r="O17" i="7"/>
  <c r="I16" i="7"/>
  <c r="F15" i="7"/>
  <c r="K13" i="7"/>
  <c r="N26" i="7"/>
  <c r="J26" i="7"/>
  <c r="P25" i="7"/>
  <c r="L25" i="7"/>
  <c r="H25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I26" i="7"/>
  <c r="F25" i="7"/>
  <c r="I24" i="7"/>
  <c r="F23" i="7"/>
  <c r="K21" i="7"/>
  <c r="O19" i="7"/>
  <c r="M18" i="7"/>
  <c r="F17" i="7"/>
  <c r="K15" i="7"/>
  <c r="O13" i="7"/>
  <c r="I12" i="7"/>
  <c r="M26" i="7"/>
  <c r="M24" i="7"/>
  <c r="O21" i="7"/>
  <c r="I20" i="7"/>
  <c r="I18" i="7"/>
  <c r="M16" i="7"/>
  <c r="I14" i="7"/>
  <c r="M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<sst xmlns="http://schemas.openxmlformats.org/spreadsheetml/2006/main" count="1383" uniqueCount="686">
  <si>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</si>
  <si>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</si>
  <si>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</si>
  <si>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</si>
  <si>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</si>
  <si>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</si>
  <si>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</si>
  <si>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</si>
  <si>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</si>
  <si>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</si>
  <si>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</si>
  <si>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</si>
  <si>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</si>
  <si>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</si>
  <si>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</si>
  <si>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</si>
  <si>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</si>
  <si>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</si>
  <si>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</si>
  <si>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</si>
  <si>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</si>
  <si>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</si>
  <si>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</si>
  <si>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</si>
  <si>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</si>
  <si>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</si>
  <si>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</si>
  <si>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</si>
  <si>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</si>
  <si>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</si>
  <si>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</si>
  <si>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</si>
  <si>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</si>
  <si>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</si>
  <si>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</si>
  <si>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</si>
  <si>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</si>
  <si>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</si>
  <si>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</si>
  <si>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</si>
  <si>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</si>
  <si>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</si>
  <si>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</si>
  <si>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</si>
  <si>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</si>
  <si>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</si>
  <si>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</si>
  <si>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</si>
  <si>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</si>
  <si>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</si>
  <si>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</si>
  <si>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</si>
  <si>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</si>
  <si>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</si>
  <si>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</si>
  <si>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</si>
  <si>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</si>
  <si>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</si>
  <si>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</si>
  <si>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</si>
  <si>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</si>
  <si>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</si>
  <si>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</si>
  <si>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</si>
  <si>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</si>
  <si>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</si>
  <si>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</si>
  <si>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</si>
  <si>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</si>
  <si>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</si>
  <si>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</si>
  <si>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</si>
  <si>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</si>
  <si>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</si>
  <si>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</si>
  <si>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</si>
  <si>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</si>
  <si>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</si>
  <si>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</si>
  <si>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</si>
  <si>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</si>
  <si>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</si>
  <si>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</si>
  <si>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</si>
  <si>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</si>
  <si>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</si>
  <si>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</si>
  <si>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</si>
  <si>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</si>
  <si>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</si>
  <si>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</si>
  <si>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</si>
  <si>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</si>
  <si>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</si>
  <si>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</si>
  <si>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</si>
  <si>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</si>
  <si>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</si>
  <si>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</si>
  <si>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</si>
  <si>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</si>
  <si>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</si>
  <si>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</si>
  <si>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</si>
  <si>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</si>
  <si>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</si>
  <si>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</si>
  <si>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</si>
  <si>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</si>
  <si>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</si>
  <si>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</si>
  <si>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</si>
  <si>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</si>
  <si>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</si>
  <si>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</si>
  <si>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</si>
  <si>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</si>
  <si>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</si>
  <si>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</si>
  <si>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</si>
  <si>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</si>
  <si>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</si>
  <si>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</si>
  <si>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</si>
  <si>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</si>
  <si>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</si>
  <si>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</si>
  <si>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</si>
  <si>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</si>
  <si>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</si>
  <si>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</si>
  <si>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</si>
  <si>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</si>
  <si>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</si>
  <si>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</si>
  <si>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</si>
  <si>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</si>
  <si>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</si>
  <si>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</si>
  <si>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</si>
  <si>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</si>
  <si>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</si>
  <si>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</si>
  <si>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</si>
  <si>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</si>
  <si>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</si>
  <si>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</si>
  <si>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</si>
  <si>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</si>
  <si>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</si>
  <si>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</si>
  <si>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</si>
  <si>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</si>
  <si>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</si>
  <si>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</si>
  <si>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</si>
  <si>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</si>
  <si>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</si>
  <si>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</si>
  <si>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</si>
  <si>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</si>
  <si>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</si>
  <si>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</si>
  <si>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</si>
  <si>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</si>
  <si>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</si>
  <si>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</si>
  <si>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</si>
  <si>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</si>
  <si>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</si>
  <si>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</si>
  <si>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</si>
  <si>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</si>
  <si>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</si>
  <si>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</si>
  <si>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</si>
  <si>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</si>
  <si>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</si>
  <si>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</si>
  <si>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</si>
  <si>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</si>
  <si>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</si>
  <si>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</si>
  <si>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</si>
  <si>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</si>
  <si>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</si>
  <si>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</si>
  <si>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</si>
  <si>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</si>
  <si>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</si>
  <si>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</si>
  <si>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</si>
  <si>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</si>
  <si>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</si>
  <si>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</si>
  <si>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</si>
  <si>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</si>
  <si>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</si>
  <si>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</si>
  <si>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</si>
  <si>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</si>
  <si>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</si>
  <si>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</si>
  <si>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</si>
  <si>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</si>
  <si>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</si>
  <si>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</si>
  <si>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</si>
  <si>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</si>
  <si>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</si>
  <si>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</si>
  <si>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</si>
  <si>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</si>
  <si>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</si>
  <si>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</si>
  <si>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</si>
  <si>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</si>
  <si>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</si>
  <si>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</si>
  <si>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</si>
  <si>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</si>
  <si>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</si>
  <si>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</si>
  <si>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</si>
  <si>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</si>
  <si>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</si>
  <si>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</si>
  <si>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</si>
  <si>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</si>
  <si>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</si>
  <si>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</si>
  <si>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</si>
  <si>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</si>
  <si>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</si>
  <si>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</si>
  <si>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</si>
  <si>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</si>
  <si>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</si>
  <si>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</si>
  <si>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</si>
  <si>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</si>
  <si>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</si>
  <si>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</si>
  <si>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</si>
  <si>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</si>
  <si>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</si>
  <si>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</si>
  <si>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</si>
  <si>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</si>
  <si>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</si>
  <si>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</si>
  <si>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</si>
  <si>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</si>
  <si>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</si>
  <si>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</si>
  <si>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</si>
  <si>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</si>
  <si>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</si>
  <si>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</si>
  <si>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</si>
  <si>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</si>
  <si>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</si>
  <si>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</si>
  <si>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</si>
  <si>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</si>
  <si>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</si>
  <si>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</si>
  <si>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</si>
  <si>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</si>
  <si>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</si>
  <si>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</si>
  <si>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</si>
  <si>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</si>
  <si>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</si>
  <si>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</si>
  <si>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</si>
  <si>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</si>
  <si>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</si>
  <si>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</si>
  <si>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</si>
  <si>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</si>
  <si>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</si>
  <si>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</si>
  <si>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</si>
  <si>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</si>
  <si>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</si>
  <si>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</si>
  <si>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</si>
  <si>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</si>
  <si>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</si>
  <si>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</si>
  <si>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</si>
  <si>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</si>
  <si>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</si>
  <si>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</si>
  <si>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</si>
  <si>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</si>
  <si>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</si>
  <si>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</si>
  <si>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</si>
  <si>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</si>
  <si>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</si>
  <si>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</si>
  <si>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</si>
  <si>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</si>
  <si>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</si>
  <si>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</si>
  <si>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</si>
  <si>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</si>
  <si>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</si>
  <si>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</si>
  <si>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</si>
  <si>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</si>
  <si>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</si>
  <si>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</si>
  <si>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</si>
  <si>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</si>
  <si>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</si>
  <si>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</si>
  <si>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</si>
  <si>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</si>
  <si>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</si>
  <si>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</si>
  <si>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</si>
  <si>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</si>
  <si>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</si>
  <si>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</si>
  <si>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</si>
  <si>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</si>
  <si>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</si>
  <si>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</si>
  <si>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</si>
  <si>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</si>
  <si>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</si>
  <si>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</si>
  <si>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</si>
  <si>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</si>
  <si>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</si>
  <si>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</si>
  <si>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</si>
  <si>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</si>
  <si>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</si>
  <si>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</si>
  <si>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</si>
  <si>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</si>
  <si>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</si>
  <si>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</si>
  <si>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</si>
  <si>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</si>
  <si>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</si>
  <si>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</si>
  <si>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</si>
  <si>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</si>
  <si>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</si>
  <si>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</si>
  <si>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</si>
  <si>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</si>
  <si>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</si>
  <si>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</si>
  <si>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</si>
  <si>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</si>
  <si>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</si>
  <si>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</si>
  <si>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</si>
  <si>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</si>
  <si>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</si>
  <si>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</si>
  <si>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</si>
  <si>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</si>
  <si>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</si>
  <si>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</si>
  <si>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</si>
  <si>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</si>
  <si>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</si>
  <si>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</si>
  <si>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</si>
  <si>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</si>
  <si>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</si>
  <si>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</si>
  <si>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</si>
  <si>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</si>
  <si>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</si>
  <si>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</si>
  <si>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</si>
  <si>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</si>
  <si>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</si>
  <si>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</si>
  <si>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</si>
  <si>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</si>
  <si>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</si>
  <si>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</si>
  <si>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</si>
  <si>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</si>
  <si>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</si>
  <si>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</si>
  <si>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</si>
  <si>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</si>
  <si>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</si>
  <si>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</si>
  <si>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</si>
  <si>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</si>
  <si>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</si>
  <si>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</si>
  <si>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</si>
  <si>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</si>
  <si>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</si>
  <si>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</si>
  <si>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</si>
  <si>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</si>
  <si>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</si>
  <si>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</si>
  <si>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</si>
  <si>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</si>
  <si>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</si>
  <si>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</si>
  <si>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</si>
  <si>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</si>
  <si>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</si>
  <si>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</si>
  <si>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</si>
  <si>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</si>
  <si>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</si>
  <si>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</si>
  <si>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</si>
  <si>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</si>
  <si>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</si>
  <si>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</si>
  <si>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</si>
  <si>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</si>
  <si>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</si>
  <si>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</si>
  <si>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</si>
  <si>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</si>
  <si>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</si>
  <si>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</si>
  <si>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</si>
  <si>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</si>
  <si>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</si>
  <si>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</si>
  <si>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</si>
  <si>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</si>
  <si>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</si>
  <si>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</si>
  <si>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</si>
  <si>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</si>
  <si>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</si>
  <si>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</si>
  <si>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</si>
  <si>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</si>
  <si>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</si>
  <si>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</si>
  <si>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</si>
  <si>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</si>
  <si>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</si>
  <si>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</si>
  <si>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</si>
  <si>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</si>
  <si>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</si>
  <si>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</si>
  <si>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</si>
  <si>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</si>
  <si>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</si>
  <si>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</si>
  <si>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</si>
  <si>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</si>
  <si>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</si>
  <si>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</si>
  <si>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</si>
  <si>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</si>
  <si>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</si>
  <si>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</si>
  <si>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</si>
  <si>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</si>
  <si>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</si>
  <si>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</si>
  <si>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</si>
  <si>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</si>
  <si>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</si>
  <si>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</si>
  <si>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</si>
  <si>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</si>
  <si>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</si>
  <si>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</si>
  <si>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</si>
  <si>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</si>
  <si>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</si>
  <si>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</si>
  <si>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</si>
  <si>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</si>
  <si>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</si>
  <si>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</si>
  <si>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</si>
  <si>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</si>
  <si>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</si>
  <si>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</si>
  <si>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</si>
  <si>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</si>
  <si>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</si>
  <si>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</si>
  <si>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</si>
  <si>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</si>
  <si>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</si>
  <si>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</si>
  <si>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</si>
  <si>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</si>
  <si>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</si>
  <si>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</si>
  <si>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</si>
  <si>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</si>
  <si>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</si>
  <si>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</si>
  <si>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</si>
  <si>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</si>
  <si>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</si>
  <si>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</si>
  <si>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</si>
  <si>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</si>
  <si>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</si>
  <si>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</si>
  <si>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</si>
  <si>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</si>
  <si>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</si>
  <si>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</si>
  <si>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</si>
  <si>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</si>
  <si>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</si>
  <si>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</si>
  <si>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</si>
  <si>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</si>
  <si>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</si>
  <si>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</si>
  <si>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</si>
  <si>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</si>
  <si>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</si>
  <si>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</si>
  <si>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</si>
  <si>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</si>
  <si>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</si>
  <si>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</si>
  <si>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</si>
  <si>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</si>
  <si>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</si>
  <si>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</si>
  <si>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</si>
  <si>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</si>
  <si>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</si>
  <si>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</si>
  <si>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</si>
  <si>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</si>
  <si>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</si>
  <si>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</si>
  <si>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</si>
  <si>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</si>
  <si>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</si>
  <si>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</si>
  <si>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</si>
  <si>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</si>
  <si>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</si>
  <si>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</si>
  <si>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</si>
  <si>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</si>
  <si>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</si>
  <si>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</si>
  <si>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</si>
  <si>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</si>
  <si>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</si>
  <si>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</si>
  <si>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</si>
  <si>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</si>
  <si>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</si>
  <si>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</si>
  <si>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</si>
  <si>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</si>
  <si>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</si>
  <si>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</si>
  <si>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</si>
  <si>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</si>
  <si>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</si>
  <si>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</si>
  <si>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</si>
  <si>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</si>
  <si>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</si>
  <si>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</si>
  <si>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</si>
  <si>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</si>
  <si>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</si>
  <si>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</si>
  <si>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</si>
  <si>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</si>
  <si>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</si>
  <si>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</si>
  <si>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</si>
  <si>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</si>
  <si>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</si>
  <si>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</si>
  <si>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</si>
  <si>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</si>
  <si>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</si>
  <si>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</si>
  <si>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</si>
  <si>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</si>
  <si>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</si>
  <si>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</si>
  <si>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</si>
  <si>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</si>
  <si>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</si>
  <si>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</si>
  <si>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</si>
  <si>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</si>
  <si>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</si>
  <si>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</si>
  <si>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</si>
  <si>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</si>
  <si>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</si>
  <si>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</si>
  <si>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</si>
  <si>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</si>
  <si>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</si>
  <si>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</si>
  <si>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</si>
  <si>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</si>
  <si>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</si>
  <si>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</si>
  <si>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</si>
  <si>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</si>
  <si>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</si>
  <si>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</si>
  <si>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</si>
  <si>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</si>
  <si>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</si>
  <si>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</si>
  <si>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</si>
  <si>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</si>
  <si>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</si>
  <si>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</si>
  <si>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</si>
  <si>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</si>
  <si>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</si>
  <si>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</si>
  <si>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</si>
  <si>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</si>
  <si>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</si>
  <si>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</si>
  <si>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</si>
  <si>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</si>
  <si>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</si>
  <si>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</si>
  <si>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</si>
  <si>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</si>
  <si>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</si>
  <si>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</si>
  <si>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</si>
  <si>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</si>
  <si>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</si>
  <si>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</si>
  <si>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Licht-, Kraft- und Wasserwerke Kitzingen GmbH</t>
  </si>
  <si>
    <t>9870033400001</t>
  </si>
  <si>
    <t>Wörthstraße 5</t>
  </si>
  <si>
    <t>Kitzingen</t>
  </si>
  <si>
    <t>Herr Saueracker</t>
  </si>
  <si>
    <t>netz@lkw-kitzingen.de</t>
  </si>
  <si>
    <t>09321/101-415</t>
  </si>
  <si>
    <t>NCHN007003340000</t>
  </si>
  <si>
    <t>Netzgebiet Kitzingen</t>
  </si>
  <si>
    <t>DE_GBA03</t>
  </si>
  <si>
    <t>DE_GBD03</t>
  </si>
  <si>
    <t>DE_GBD05</t>
  </si>
  <si>
    <t>DE_GBH03</t>
  </si>
  <si>
    <t>DE_GBH04</t>
  </si>
  <si>
    <t>DE_GGA03</t>
  </si>
  <si>
    <t>DE_GGA04</t>
  </si>
  <si>
    <t>DE_GGA05</t>
  </si>
  <si>
    <t>DE_GGB04</t>
  </si>
  <si>
    <t>DE_GGB05</t>
  </si>
  <si>
    <t>DE_GHA03</t>
  </si>
  <si>
    <t>DE_GHA05</t>
  </si>
  <si>
    <t>DE_GKO03</t>
  </si>
  <si>
    <t>DE_GKO04</t>
  </si>
  <si>
    <t>DE_GKO05</t>
  </si>
  <si>
    <t>DE_GMK03</t>
  </si>
  <si>
    <t>DE_GMK05</t>
  </si>
  <si>
    <t>DE_GPD03</t>
  </si>
  <si>
    <t>DE_GWA03</t>
  </si>
  <si>
    <t>DE_HEF04</t>
  </si>
  <si>
    <t>DE_HMF04</t>
  </si>
  <si>
    <t>OGE/OGR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</si>
</sst>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465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337</v>
      </c>
    </row>
    <row r="8" spans="2:7" s="8" customFormat="1">
      <c r="B8" s="8" t="s">
        <v>462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498</v>
      </c>
    </row>
    <row r="12" spans="2:7" s="8" customFormat="1">
      <c r="B12" s="8" t="s">
        <v>499</v>
      </c>
    </row>
    <row r="13" spans="2:7" s="8" customFormat="1">
      <c r="B13" s="8" t="s">
        <v>505</v>
      </c>
    </row>
    <row r="14" spans="2:7" s="8" customFormat="1"/>
    <row r="15" spans="2:7">
      <c r="B15" s="20" t="s">
        <v>464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463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42205</v>
      </c>
      <c r="E29" s="8"/>
      <c r="F29" s="8"/>
      <c r="G29" s="8"/>
      <c r="H29" s="8"/>
    </row>
    <row r="30" spans="2:12">
      <c r="B30" s="21" t="s">
        <v>347</v>
      </c>
      <c r="C30" s="327" t="s">
        <v>648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B2" sqref="B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652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651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485</v>
      </c>
      <c r="D11" s="331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97318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486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501</v>
      </c>
      <c r="D28" s="48" t="str">
        <f>IF(D27&lt;&gt;C28,VLOOKUP(D27,$C$29:$D$48,2,FALSE),C28)</f>
        <v>OGE/OGR</v>
      </c>
      <c r="E28" s="38"/>
      <c r="F28" s="11"/>
      <c r="G28" s="2"/>
    </row>
    <row r="29" spans="1:15">
      <c r="B29" s="15"/>
      <c r="C29" s="22" t="s">
        <v>395</v>
      </c>
      <c r="D29" s="45" t="s">
        <v>685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password="C6D4"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5" zoomScale="80" zoomScaleNormal="80" workbookViewId="0">
      <selection activeCell="C5" sqref="C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Licht-, Kraft- und Wasserwerke Kitzingen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OGE/OGR</v>
      </c>
      <c r="E6" s="15"/>
      <c r="H6" s="67"/>
      <c r="I6" s="67"/>
      <c r="J6" s="67"/>
      <c r="K6" s="67"/>
    </row>
    <row r="7" spans="2:15" ht="15" customHeight="1">
      <c r="B7" s="22"/>
      <c r="C7" s="60" t="s">
        <v>487</v>
      </c>
      <c r="D7" s="328" t="str">
        <f>Netzbetreiber!$D$11</f>
        <v>9870033400001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613</v>
      </c>
      <c r="D13" s="33" t="s">
        <v>614</v>
      </c>
      <c r="E13" s="15"/>
      <c r="H13" s="271" t="s">
        <v>614</v>
      </c>
      <c r="I13" s="271" t="s">
        <v>615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430</v>
      </c>
      <c r="D15" s="42" t="s">
        <v>662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573</v>
      </c>
      <c r="I19" s="270" t="s">
        <v>488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489</v>
      </c>
      <c r="I20" s="270" t="s">
        <v>490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611</v>
      </c>
      <c r="D22" s="49" t="s">
        <v>607</v>
      </c>
      <c r="E22" s="15"/>
      <c r="H22" s="267" t="s">
        <v>607</v>
      </c>
      <c r="I22" s="267" t="s">
        <v>608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609</v>
      </c>
      <c r="E23" s="15"/>
      <c r="H23" s="267" t="s">
        <v>610</v>
      </c>
      <c r="I23" s="8" t="s">
        <v>606</v>
      </c>
      <c r="J23" s="8"/>
      <c r="K23" s="8"/>
      <c r="L23" s="268"/>
    </row>
    <row r="24" spans="2:16" ht="15" customHeight="1">
      <c r="B24" s="22"/>
      <c r="C24" s="24" t="s">
        <v>612</v>
      </c>
      <c r="D24" s="24" t="str">
        <f>IF(D22=$H$22,L24,IF(D23=$H$24,M24,N24))</f>
        <v>=&gt;  Q(D) = KW  x  h(T, SLP-Typ)  x  F(WT)</v>
      </c>
      <c r="E24" s="15"/>
      <c r="H24" s="267" t="s">
        <v>609</v>
      </c>
      <c r="I24" s="267" t="s">
        <v>616</v>
      </c>
      <c r="J24" s="8"/>
      <c r="K24" s="8"/>
      <c r="L24" s="270" t="s">
        <v>617</v>
      </c>
      <c r="M24" s="270" t="s">
        <v>619</v>
      </c>
      <c r="N24" s="270" t="s">
        <v>618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576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620</v>
      </c>
      <c r="D27" s="42"/>
      <c r="E27" s="15"/>
      <c r="H27" s="297" t="s">
        <v>621</v>
      </c>
      <c r="I27" s="269" t="s">
        <v>622</v>
      </c>
      <c r="J27" s="269" t="s">
        <v>623</v>
      </c>
      <c r="K27" s="267"/>
      <c r="L27" s="268"/>
    </row>
    <row r="28" spans="2:16" ht="15" customHeight="1">
      <c r="B28" s="22"/>
      <c r="C28" s="15" t="e">
        <f>HLOOKUP(D27,H27:J28,2,0)</f>
        <v>#N/A</v>
      </c>
      <c r="D28" s="298">
        <v>1</v>
      </c>
      <c r="E28" s="15"/>
      <c r="H28" s="270" t="s">
        <v>624</v>
      </c>
      <c r="I28" s="270" t="s">
        <v>625</v>
      </c>
      <c r="J28" s="270" t="s">
        <v>626</v>
      </c>
      <c r="K28" s="267"/>
      <c r="L28" s="268"/>
    </row>
    <row r="29" spans="2:16" ht="15" customHeight="1">
      <c r="B29" s="22"/>
      <c r="C29" s="15" t="e">
        <f>HLOOKUP(D27,H27:J29,3,0)</f>
        <v>#N/A</v>
      </c>
      <c r="D29" s="299"/>
      <c r="E29" s="15"/>
      <c r="H29" s="270" t="s">
        <v>627</v>
      </c>
      <c r="I29" s="270" t="s">
        <v>628</v>
      </c>
      <c r="J29" s="270" t="s">
        <v>629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493</v>
      </c>
      <c r="C31" s="6" t="s">
        <v>575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630</v>
      </c>
      <c r="I32" s="270" t="s">
        <v>631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632</v>
      </c>
      <c r="I33" s="267" t="s">
        <v>627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547</v>
      </c>
      <c r="C35" s="24" t="s">
        <v>495</v>
      </c>
      <c r="D35" s="42">
        <v>21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548</v>
      </c>
      <c r="C37" s="5" t="s">
        <v>365</v>
      </c>
      <c r="D37" s="34">
        <v>1500000</v>
      </c>
      <c r="E37" s="15" t="s">
        <v>506</v>
      </c>
      <c r="I37" s="267"/>
      <c r="J37" s="267"/>
      <c r="K37" s="267"/>
      <c r="L37" s="267"/>
      <c r="M37" s="268"/>
    </row>
    <row r="38" spans="2:39" customFormat="1" ht="15" customHeight="1">
      <c r="C38" s="8" t="s">
        <v>491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549</v>
      </c>
      <c r="C40" s="5" t="s">
        <v>366</v>
      </c>
      <c r="D40" s="36">
        <v>500</v>
      </c>
      <c r="E40" s="15" t="s">
        <v>539</v>
      </c>
      <c r="H40" s="67"/>
      <c r="I40" s="67"/>
      <c r="J40" s="67"/>
      <c r="K40" s="67"/>
    </row>
    <row r="41" spans="2:39" ht="15" customHeight="1">
      <c r="C41" s="8" t="s">
        <v>492</v>
      </c>
    </row>
    <row r="42" spans="2:39" ht="15" customHeight="1">
      <c r="B42" s="7"/>
      <c r="C42" s="3"/>
    </row>
    <row r="43" spans="2:39" ht="15" customHeight="1">
      <c r="B43" s="7"/>
      <c r="C43" s="3" t="s">
        <v>538</v>
      </c>
    </row>
    <row r="44" spans="2:39" ht="18" customHeight="1">
      <c r="C44" s="3" t="s">
        <v>540</v>
      </c>
    </row>
    <row r="45" spans="2:39" ht="18" customHeight="1">
      <c r="C45" s="3"/>
    </row>
    <row r="46" spans="2:39" ht="15" customHeight="1">
      <c r="B46" s="22" t="s">
        <v>550</v>
      </c>
      <c r="C46" s="60" t="s">
        <v>574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584</v>
      </c>
      <c r="D48" s="45" t="s">
        <v>663</v>
      </c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  <row r="60" spans="3:4" ht="18" customHeight="1">
      <c r="C60" s="22" t="s">
        <v>596</v>
      </c>
      <c r="D60" s="45"/>
    </row>
    <row r="61" spans="3:4" ht="18" customHeight="1">
      <c r="C61" s="22" t="s">
        <v>597</v>
      </c>
      <c r="D61" s="45"/>
    </row>
    <row r="62" spans="3:4" ht="18" customHeight="1">
      <c r="C62" s="22" t="s">
        <v>598</v>
      </c>
      <c r="D62" s="45"/>
    </row>
  </sheetData>
  <sheetProtection password="C6D4"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1" zoomScale="70" zoomScaleNormal="70" workbookViewId="0">
      <selection activeCell="C1" sqref="C1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Licht-, Kraft- und Wasserwerke Kitzingen GmbH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OGE/OGR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Netzbetreiber!D11</f>
        <v>9870033400001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1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 t="str">
        <f>INDEX('SLP-Verfahren'!D48:D62,'SLP-Temp-Gebiet #01'!F10)</f>
        <v>Netzgebiet Kitzingen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84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70</v>
      </c>
      <c r="G15" s="263" t="s">
        <v>564</v>
      </c>
      <c r="H15" s="51">
        <v>0</v>
      </c>
      <c r="I15" s="57"/>
      <c r="J15" s="129"/>
      <c r="K15" s="129"/>
      <c r="L15" s="129"/>
      <c r="M15" s="129"/>
      <c r="N15" s="129"/>
      <c r="O15" s="160"/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493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515</v>
      </c>
      <c r="E21" s="281">
        <f>1-SUMPRODUCT(F19:N19,F21:N21)</f>
        <v>1</v>
      </c>
      <c r="F21" s="281">
        <f>ROUND(F22/$D$22,4)</f>
        <v>0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1</v>
      </c>
      <c r="E22" s="283">
        <v>1</v>
      </c>
      <c r="F22" s="283"/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502</v>
      </c>
      <c r="F23" s="155"/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502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658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514</v>
      </c>
      <c r="D25" s="186"/>
      <c r="E25" s="159">
        <v>194809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141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536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515</v>
      </c>
      <c r="E55" s="279">
        <f>1-SUMPRODUCT(F53:N53,F55:N55)</f>
        <v>1</v>
      </c>
      <c r="F55" s="279">
        <f>ROUND(F56/$D$56,4)</f>
        <v>0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1</v>
      </c>
      <c r="E56" s="280">
        <f>E22</f>
        <v>1</v>
      </c>
      <c r="F56" s="280">
        <f t="shared" ref="F56:N56" si="6">F22</f>
        <v>0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MeteoGroup</v>
      </c>
      <c r="F57" s="155">
        <f t="shared" ref="F57:N57" si="7">F23</f>
        <v>0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Kitzingen</v>
      </c>
      <c r="F58" s="155">
        <f t="shared" ref="F58:N58" si="8">F24</f>
        <v>0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514</v>
      </c>
      <c r="D59" s="186"/>
      <c r="E59" s="159">
        <f>E25</f>
        <v>194809</v>
      </c>
      <c r="F59" s="159">
        <f t="shared" ref="F59:N59" si="9">F25</f>
        <v>0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525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 t="str">
        <f t="shared" si="15"/>
        <v>Kalendertag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443</v>
      </c>
      <c r="D70" s="118" t="s">
        <v>536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password="C6D4"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F36 E26:N26 E56:N60 E22 I22:N22 F52 F62 G24:N24 G70:N70 E32:N33 E69:N69 G25:N25 I34:N34 I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Licht-, Kraft- und Wasserwerke Kitzingen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OGE/OGR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Netzbetreiber!$D$11</f>
        <v>9870033400001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2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84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70</v>
      </c>
      <c r="G15" s="263" t="s">
        <v>564</v>
      </c>
      <c r="H15" s="51">
        <v>0</v>
      </c>
      <c r="I15" s="57"/>
      <c r="J15" s="129"/>
      <c r="K15" s="129"/>
      <c r="L15" s="129"/>
      <c r="M15" s="129"/>
      <c r="N15" s="129"/>
      <c r="O15" s="160" t="s">
        <v>526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493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515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502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579</v>
      </c>
      <c r="F24" s="155" t="s">
        <v>580</v>
      </c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514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141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536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515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514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525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>
      <c r="B70" s="181"/>
      <c r="C70" s="190" t="s">
        <v>443</v>
      </c>
      <c r="D70" s="118" t="s">
        <v>536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C12" sqref="C1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466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Licht-, Kraft- und Wasserwerke Kitzingen GmbH</v>
      </c>
      <c r="E5" s="129"/>
      <c r="J5" s="88" t="s">
        <v>497</v>
      </c>
      <c r="K5" s="130" t="s">
        <v>500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OGE/OGR</v>
      </c>
      <c r="E6" s="129"/>
      <c r="F6" s="129"/>
      <c r="K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487</v>
      </c>
      <c r="D7" s="54" t="str">
        <f>Netzbetreiber!$D$11</f>
        <v>9870033400001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42278</v>
      </c>
      <c r="E8" s="129"/>
      <c r="F8" s="129"/>
      <c r="H8" s="127" t="s">
        <v>495</v>
      </c>
      <c r="J8" s="131">
        <f>COUNTA(D12:D100)</f>
        <v>21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247</v>
      </c>
      <c r="C10" s="134" t="s">
        <v>494</v>
      </c>
      <c r="D10" s="133" t="s">
        <v>146</v>
      </c>
      <c r="E10" s="272" t="s">
        <v>510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633</v>
      </c>
      <c r="M10" s="149" t="s">
        <v>642</v>
      </c>
      <c r="N10" s="150" t="s">
        <v>643</v>
      </c>
      <c r="O10" s="150" t="s">
        <v>644</v>
      </c>
      <c r="P10" s="151" t="s">
        <v>645</v>
      </c>
      <c r="Q10" s="145" t="s">
        <v>634</v>
      </c>
      <c r="R10" s="135" t="s">
        <v>635</v>
      </c>
      <c r="S10" s="136" t="s">
        <v>636</v>
      </c>
      <c r="T10" s="136" t="s">
        <v>637</v>
      </c>
      <c r="U10" s="136" t="s">
        <v>638</v>
      </c>
      <c r="V10" s="136" t="s">
        <v>639</v>
      </c>
      <c r="W10" s="136" t="s">
        <v>640</v>
      </c>
      <c r="X10" s="137" t="s">
        <v>641</v>
      </c>
      <c r="Y10" s="294" t="s">
        <v>646</v>
      </c>
    </row>
    <row r="11" spans="2:26" ht="15.75" thickBot="1">
      <c r="B11" s="138" t="s">
        <v>496</v>
      </c>
      <c r="C11" s="139" t="s">
        <v>509</v>
      </c>
      <c r="D11" s="293" t="s">
        <v>246</v>
      </c>
      <c r="E11" s="163" t="s">
        <v>664</v>
      </c>
      <c r="F11" s="295" t="str">
        <f>VLOOKUP($E11,'BDEW-Standard'!$B$3:$M$158,F$9,0)</f>
        <v>BA3</v>
      </c>
      <c r="H11" s="166">
        <f>ROUND(VLOOKUP($E11,'BDEW-Standard'!$B$3:$M$158,H$9,0),7)</f>
        <v>0.62619619999999998</v>
      </c>
      <c r="I11" s="166">
        <f>ROUND(VLOOKUP($E11,'BDEW-Standard'!$B$3:$M$158,I$9,0),7)</f>
        <v>-33</v>
      </c>
      <c r="J11" s="166">
        <f>ROUND(VLOOKUP($E11,'BDEW-Standard'!$B$3:$M$158,J$9,0),7)</f>
        <v>5.7212303000000002</v>
      </c>
      <c r="K11" s="166">
        <f>ROUND(VLOOKUP($E11,'BDEW-Standard'!$B$3:$M$158,K$9,0),7)</f>
        <v>0.78556550000000003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1.0711738317583412</v>
      </c>
      <c r="R11" s="167">
        <f>ROUND(VLOOKUP(MID($E11,4,3),'Wochentag F(WT)'!$B$7:$J$22,R$9,0),4)</f>
        <v>1.0848</v>
      </c>
      <c r="S11" s="167">
        <f>ROUND(VLOOKUP(MID($E11,4,3),'Wochentag F(WT)'!$B$7:$J$22,S$9,0),4)</f>
        <v>1.1211</v>
      </c>
      <c r="T11" s="167">
        <f>ROUND(VLOOKUP(MID($E11,4,3),'Wochentag F(WT)'!$B$7:$J$22,T$9,0),4)</f>
        <v>1.0769</v>
      </c>
      <c r="U11" s="167">
        <f>ROUND(VLOOKUP(MID($E11,4,3),'Wochentag F(WT)'!$B$7:$J$22,U$9,0),4)</f>
        <v>1.1353</v>
      </c>
      <c r="V11" s="167">
        <f>ROUND(VLOOKUP(MID($E11,4,3),'Wochentag F(WT)'!$B$7:$J$22,V$9,0),4)</f>
        <v>1.1402000000000001</v>
      </c>
      <c r="W11" s="167">
        <f>ROUND(VLOOKUP(MID($E11,4,3),'Wochentag F(WT)'!$B$7:$J$22,W$9,0),4)</f>
        <v>0.48520000000000002</v>
      </c>
      <c r="X11" s="168">
        <f>7-SUM(R11:W11)</f>
        <v>0.95650000000000013</v>
      </c>
      <c r="Y11" s="291">
        <v>365.12299999999999</v>
      </c>
    </row>
    <row r="12" spans="2:26">
      <c r="B12" s="140">
        <v>1</v>
      </c>
      <c r="C12" s="141" t="str">
        <f t="shared" ref="C12:C41" si="0">$D$6</f>
        <v>OGE/OGR</v>
      </c>
      <c r="D12" s="62" t="s">
        <v>246</v>
      </c>
      <c r="E12" s="164" t="s">
        <v>665</v>
      </c>
      <c r="F12" s="296" t="str">
        <f>VLOOKUP($E12,'BDEW-Standard'!$B$3:$M$158,F$9,0)</f>
        <v>BD3</v>
      </c>
      <c r="H12" s="273">
        <f>ROUND(VLOOKUP($E12,'BDEW-Standard'!$B$3:$M$158,H$9,0),7)</f>
        <v>2.9177027</v>
      </c>
      <c r="I12" s="273">
        <f>ROUND(VLOOKUP($E12,'BDEW-Standard'!$B$3:$M$158,I$9,0),7)</f>
        <v>-36.179411700000003</v>
      </c>
      <c r="J12" s="273">
        <f>ROUND(VLOOKUP($E12,'BDEW-Standard'!$B$3:$M$158,J$9,0),7)</f>
        <v>5.9265162</v>
      </c>
      <c r="K12" s="273">
        <f>ROUND(VLOOKUP($E12,'BDEW-Standard'!$B$3:$M$158,K$9,0),7)</f>
        <v>0.11519119999999999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32" si="1">($H12/(1+($I12/($Q$9-$L12))^$J12)+$K12)+MAX($M12*$Q$9+$N12,$O12*$Q$9+$P12)</f>
        <v>1.0656106174494469</v>
      </c>
      <c r="R12" s="274">
        <f>ROUND(VLOOKUP(MID($E12,4,3),'Wochentag F(WT)'!$B$7:$J$22,R$9,0),4)</f>
        <v>1.1052</v>
      </c>
      <c r="S12" s="274">
        <f>ROUND(VLOOKUP(MID($E12,4,3),'Wochentag F(WT)'!$B$7:$J$22,S$9,0),4)</f>
        <v>1.0857000000000001</v>
      </c>
      <c r="T12" s="274">
        <f>ROUND(VLOOKUP(MID($E12,4,3),'Wochentag F(WT)'!$B$7:$J$22,T$9,0),4)</f>
        <v>1.0378000000000001</v>
      </c>
      <c r="U12" s="274">
        <f>ROUND(VLOOKUP(MID($E12,4,3),'Wochentag F(WT)'!$B$7:$J$22,U$9,0),4)</f>
        <v>1.0622</v>
      </c>
      <c r="V12" s="274">
        <f>ROUND(VLOOKUP(MID($E12,4,3),'Wochentag F(WT)'!$B$7:$J$22,V$9,0),4)</f>
        <v>1.0266</v>
      </c>
      <c r="W12" s="274">
        <f>ROUND(VLOOKUP(MID($E12,4,3),'Wochentag F(WT)'!$B$7:$J$22,W$9,0),4)</f>
        <v>0.76290000000000002</v>
      </c>
      <c r="X12" s="275">
        <f>7-SUM(R12:W12)</f>
        <v>0.91959999999999997</v>
      </c>
      <c r="Y12" s="292"/>
      <c r="Z12" s="210"/>
    </row>
    <row r="13" spans="2:26" s="142" customFormat="1">
      <c r="B13" s="143">
        <v>2</v>
      </c>
      <c r="C13" s="144" t="str">
        <f t="shared" si="0"/>
        <v>OGE/OGR</v>
      </c>
      <c r="D13" s="62" t="s">
        <v>246</v>
      </c>
      <c r="E13" s="164" t="s">
        <v>666</v>
      </c>
      <c r="F13" s="296" t="str">
        <f>VLOOKUP($E13,'BDEW-Standard'!$B$3:$M$158,F$9,0)</f>
        <v>BD5</v>
      </c>
      <c r="H13" s="273">
        <f>ROUND(VLOOKUP($E13,'BDEW-Standard'!$B$3:$M$158,H$9,0),7)</f>
        <v>4.5699506000000003</v>
      </c>
      <c r="I13" s="273">
        <f>ROUND(VLOOKUP($E13,'BDEW-Standard'!$B$3:$M$158,I$9,0),7)</f>
        <v>-38.535339200000003</v>
      </c>
      <c r="J13" s="273">
        <f>ROUND(VLOOKUP($E13,'BDEW-Standard'!$B$3:$M$158,J$9,0),7)</f>
        <v>7.5976990999999998</v>
      </c>
      <c r="K13" s="273">
        <f>ROUND(VLOOKUP($E13,'BDEW-Standard'!$B$3:$M$158,K$9,0),7)</f>
        <v>6.6314E-3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0.90200299693660235</v>
      </c>
      <c r="R13" s="274">
        <f>ROUND(VLOOKUP(MID($E13,4,3),'Wochentag F(WT)'!$B$7:$J$22,R$9,0),4)</f>
        <v>1.1052</v>
      </c>
      <c r="S13" s="274">
        <f>ROUND(VLOOKUP(MID($E13,4,3),'Wochentag F(WT)'!$B$7:$J$22,S$9,0),4)</f>
        <v>1.0857000000000001</v>
      </c>
      <c r="T13" s="274">
        <f>ROUND(VLOOKUP(MID($E13,4,3),'Wochentag F(WT)'!$B$7:$J$22,T$9,0),4)</f>
        <v>1.0378000000000001</v>
      </c>
      <c r="U13" s="274">
        <f>ROUND(VLOOKUP(MID($E13,4,3),'Wochentag F(WT)'!$B$7:$J$22,U$9,0),4)</f>
        <v>1.0622</v>
      </c>
      <c r="V13" s="274">
        <f>ROUND(VLOOKUP(MID($E13,4,3),'Wochentag F(WT)'!$B$7:$J$22,V$9,0),4)</f>
        <v>1.0266</v>
      </c>
      <c r="W13" s="274">
        <f>ROUND(VLOOKUP(MID($E13,4,3),'Wochentag F(WT)'!$B$7:$J$22,W$9,0),4)</f>
        <v>0.76290000000000002</v>
      </c>
      <c r="X13" s="275">
        <f t="shared" ref="X13:X32" si="2">7-SUM(R13:W13)</f>
        <v>0.91959999999999997</v>
      </c>
      <c r="Y13" s="292"/>
      <c r="Z13" s="210"/>
    </row>
    <row r="14" spans="2:26" s="142" customFormat="1">
      <c r="B14" s="143">
        <v>3</v>
      </c>
      <c r="C14" s="144" t="str">
        <f t="shared" si="0"/>
        <v>OGE/OGR</v>
      </c>
      <c r="D14" s="62" t="s">
        <v>246</v>
      </c>
      <c r="E14" s="164" t="s">
        <v>667</v>
      </c>
      <c r="F14" s="296" t="str">
        <f>VLOOKUP($E14,'BDEW-Standard'!$B$3:$M$158,F$9,0)</f>
        <v>BH3</v>
      </c>
      <c r="H14" s="273">
        <f>ROUND(VLOOKUP($E14,'BDEW-Standard'!$B$3:$M$158,H$9,0),7)</f>
        <v>2.0102471999999998</v>
      </c>
      <c r="I14" s="273">
        <f>ROUND(VLOOKUP($E14,'BDEW-Standard'!$B$3:$M$158,I$9,0),7)</f>
        <v>-35.253212400000002</v>
      </c>
      <c r="J14" s="273">
        <f>ROUND(VLOOKUP($E14,'BDEW-Standard'!$B$3:$M$158,J$9,0),7)</f>
        <v>6.1544406</v>
      </c>
      <c r="K14" s="273">
        <f>ROUND(VLOOKUP($E14,'BDEW-Standard'!$B$3:$M$158,K$9,0),7)</f>
        <v>0.32947409999999999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1.0436896084076008</v>
      </c>
      <c r="R14" s="274">
        <f>ROUND(VLOOKUP(MID($E14,4,3),'Wochentag F(WT)'!$B$7:$J$22,R$9,0),4)</f>
        <v>0.97670000000000001</v>
      </c>
      <c r="S14" s="274">
        <f>ROUND(VLOOKUP(MID($E14,4,3),'Wochentag F(WT)'!$B$7:$J$22,S$9,0),4)</f>
        <v>1.0388999999999999</v>
      </c>
      <c r="T14" s="274">
        <f>ROUND(VLOOKUP(MID($E14,4,3),'Wochentag F(WT)'!$B$7:$J$22,T$9,0),4)</f>
        <v>1.0027999999999999</v>
      </c>
      <c r="U14" s="274">
        <f>ROUND(VLOOKUP(MID($E14,4,3),'Wochentag F(WT)'!$B$7:$J$22,U$9,0),4)</f>
        <v>1.0162</v>
      </c>
      <c r="V14" s="274">
        <f>ROUND(VLOOKUP(MID($E14,4,3),'Wochentag F(WT)'!$B$7:$J$22,V$9,0),4)</f>
        <v>1.0024</v>
      </c>
      <c r="W14" s="274">
        <f>ROUND(VLOOKUP(MID($E14,4,3),'Wochentag F(WT)'!$B$7:$J$22,W$9,0),4)</f>
        <v>1.0043</v>
      </c>
      <c r="X14" s="275">
        <f t="shared" si="2"/>
        <v>0.95870000000000122</v>
      </c>
      <c r="Y14" s="292"/>
      <c r="Z14" s="210"/>
    </row>
    <row r="15" spans="2:26" s="142" customFormat="1">
      <c r="B15" s="143">
        <v>4</v>
      </c>
      <c r="C15" s="144" t="str">
        <f t="shared" si="0"/>
        <v>OGE/OGR</v>
      </c>
      <c r="D15" s="62" t="s">
        <v>246</v>
      </c>
      <c r="E15" s="164" t="s">
        <v>668</v>
      </c>
      <c r="F15" s="296" t="str">
        <f>VLOOKUP($E15,'BDEW-Standard'!$B$3:$M$158,F$9,0)</f>
        <v>BH4</v>
      </c>
      <c r="H15" s="273">
        <f>ROUND(VLOOKUP($E15,'BDEW-Standard'!$B$3:$M$158,H$9,0),7)</f>
        <v>2.4595180999999999</v>
      </c>
      <c r="I15" s="273">
        <f>ROUND(VLOOKUP($E15,'BDEW-Standard'!$B$3:$M$158,I$9,0),7)</f>
        <v>-35.253212400000002</v>
      </c>
      <c r="J15" s="273">
        <f>ROUND(VLOOKUP($E15,'BDEW-Standard'!$B$3:$M$158,J$9,0),7)</f>
        <v>6.0587001000000003</v>
      </c>
      <c r="K15" s="273">
        <f>ROUND(VLOOKUP($E15,'BDEW-Standard'!$B$3:$M$158,K$9,0),7)</f>
        <v>0.16473699999999999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1.043802057143173</v>
      </c>
      <c r="R15" s="274">
        <f>ROUND(VLOOKUP(MID($E15,4,3),'Wochentag F(WT)'!$B$7:$J$22,R$9,0),4)</f>
        <v>0.97670000000000001</v>
      </c>
      <c r="S15" s="274">
        <f>ROUND(VLOOKUP(MID($E15,4,3),'Wochentag F(WT)'!$B$7:$J$22,S$9,0),4)</f>
        <v>1.0388999999999999</v>
      </c>
      <c r="T15" s="274">
        <f>ROUND(VLOOKUP(MID($E15,4,3),'Wochentag F(WT)'!$B$7:$J$22,T$9,0),4)</f>
        <v>1.0027999999999999</v>
      </c>
      <c r="U15" s="274">
        <f>ROUND(VLOOKUP(MID($E15,4,3),'Wochentag F(WT)'!$B$7:$J$22,U$9,0),4)</f>
        <v>1.0162</v>
      </c>
      <c r="V15" s="274">
        <f>ROUND(VLOOKUP(MID($E15,4,3),'Wochentag F(WT)'!$B$7:$J$22,V$9,0),4)</f>
        <v>1.0024</v>
      </c>
      <c r="W15" s="274">
        <f>ROUND(VLOOKUP(MID($E15,4,3),'Wochentag F(WT)'!$B$7:$J$22,W$9,0),4)</f>
        <v>1.0043</v>
      </c>
      <c r="X15" s="275">
        <f t="shared" si="2"/>
        <v>0.95870000000000122</v>
      </c>
      <c r="Y15" s="292"/>
      <c r="Z15" s="210"/>
    </row>
    <row r="16" spans="2:26" s="142" customFormat="1">
      <c r="B16" s="143">
        <v>5</v>
      </c>
      <c r="C16" s="144" t="str">
        <f t="shared" si="0"/>
        <v>OGE/OGR</v>
      </c>
      <c r="D16" s="62" t="s">
        <v>246</v>
      </c>
      <c r="E16" s="164" t="s">
        <v>669</v>
      </c>
      <c r="F16" s="296" t="str">
        <f>VLOOKUP($E16,'BDEW-Standard'!$B$3:$M$158,F$9,0)</f>
        <v>GA3</v>
      </c>
      <c r="H16" s="273">
        <f>ROUND(VLOOKUP($E16,'BDEW-Standard'!$B$3:$M$158,H$9,0),7)</f>
        <v>2.2850164999999998</v>
      </c>
      <c r="I16" s="273">
        <f>ROUND(VLOOKUP($E16,'BDEW-Standard'!$B$3:$M$158,I$9,0),7)</f>
        <v>-36.287858399999998</v>
      </c>
      <c r="J16" s="273">
        <f>ROUND(VLOOKUP($E16,'BDEW-Standard'!$B$3:$M$158,J$9,0),7)</f>
        <v>6.5885125999999996</v>
      </c>
      <c r="K16" s="273">
        <f>ROUND(VLOOKUP($E16,'BDEW-Standard'!$B$3:$M$158,K$9,0),7)</f>
        <v>0.31505349999999999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1.0096183914256316</v>
      </c>
      <c r="R16" s="274">
        <f>ROUND(VLOOKUP(MID($E16,4,3),'Wochentag F(WT)'!$B$7:$J$22,R$9,0),4)</f>
        <v>0.93220000000000003</v>
      </c>
      <c r="S16" s="274">
        <f>ROUND(VLOOKUP(MID($E16,4,3),'Wochentag F(WT)'!$B$7:$J$22,S$9,0),4)</f>
        <v>0.98939999999999995</v>
      </c>
      <c r="T16" s="274">
        <f>ROUND(VLOOKUP(MID($E16,4,3),'Wochentag F(WT)'!$B$7:$J$22,T$9,0),4)</f>
        <v>1.0033000000000001</v>
      </c>
      <c r="U16" s="274">
        <f>ROUND(VLOOKUP(MID($E16,4,3),'Wochentag F(WT)'!$B$7:$J$22,U$9,0),4)</f>
        <v>1.0108999999999999</v>
      </c>
      <c r="V16" s="274">
        <f>ROUND(VLOOKUP(MID($E16,4,3),'Wochentag F(WT)'!$B$7:$J$22,V$9,0),4)</f>
        <v>1.018</v>
      </c>
      <c r="W16" s="274">
        <f>ROUND(VLOOKUP(MID($E16,4,3),'Wochentag F(WT)'!$B$7:$J$22,W$9,0),4)</f>
        <v>1.0356000000000001</v>
      </c>
      <c r="X16" s="275">
        <f t="shared" si="2"/>
        <v>1.0106000000000002</v>
      </c>
      <c r="Y16" s="292"/>
      <c r="Z16" s="210"/>
    </row>
    <row r="17" spans="2:26" s="142" customFormat="1">
      <c r="B17" s="143">
        <v>6</v>
      </c>
      <c r="C17" s="144" t="str">
        <f t="shared" si="0"/>
        <v>OGE/OGR</v>
      </c>
      <c r="D17" s="62" t="s">
        <v>246</v>
      </c>
      <c r="E17" s="164" t="s">
        <v>670</v>
      </c>
      <c r="F17" s="296" t="str">
        <f>VLOOKUP($E17,'BDEW-Standard'!$B$3:$M$158,F$9,0)</f>
        <v>GA4</v>
      </c>
      <c r="H17" s="273">
        <f>ROUND(VLOOKUP($E17,'BDEW-Standard'!$B$3:$M$158,H$9,0),7)</f>
        <v>2.8195655999999998</v>
      </c>
      <c r="I17" s="273">
        <f>ROUND(VLOOKUP($E17,'BDEW-Standard'!$B$3:$M$158,I$9,0),7)</f>
        <v>-36</v>
      </c>
      <c r="J17" s="273">
        <f>ROUND(VLOOKUP($E17,'BDEW-Standard'!$B$3:$M$158,J$9,0),7)</f>
        <v>7.7368518000000002</v>
      </c>
      <c r="K17" s="273">
        <f>ROUND(VLOOKUP($E17,'BDEW-Standard'!$B$3:$M$158,K$9,0),7)</f>
        <v>0.157281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0.96576337685759206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2"/>
        <v>1.0106000000000002</v>
      </c>
      <c r="Y17" s="292"/>
      <c r="Z17" s="210"/>
    </row>
    <row r="18" spans="2:26" s="142" customFormat="1">
      <c r="B18" s="143">
        <v>7</v>
      </c>
      <c r="C18" s="144" t="str">
        <f t="shared" si="0"/>
        <v>OGE/OGR</v>
      </c>
      <c r="D18" s="62" t="s">
        <v>246</v>
      </c>
      <c r="E18" s="164" t="s">
        <v>671</v>
      </c>
      <c r="F18" s="296" t="str">
        <f>VLOOKUP($E18,'BDEW-Standard'!$B$3:$M$158,F$9,0)</f>
        <v>GA5</v>
      </c>
      <c r="H18" s="273">
        <f>ROUND(VLOOKUP($E18,'BDEW-Standard'!$B$3:$M$158,H$9,0),7)</f>
        <v>3.3295574999999999</v>
      </c>
      <c r="I18" s="273">
        <f>ROUND(VLOOKUP($E18,'BDEW-Standard'!$B$3:$M$158,I$9,0),7)</f>
        <v>-36.014621099999999</v>
      </c>
      <c r="J18" s="273">
        <f>ROUND(VLOOKUP($E18,'BDEW-Standard'!$B$3:$M$158,J$9,0),7)</f>
        <v>8.7767464999999998</v>
      </c>
      <c r="K18" s="273">
        <f>ROUND(VLOOKUP($E18,'BDEW-Standard'!$B$3:$M$158,K$9,0),7)</f>
        <v>0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0.87123951295728519</v>
      </c>
      <c r="R18" s="274">
        <f>ROUND(VLOOKUP(MID($E18,4,3),'Wochentag F(WT)'!$B$7:$J$22,R$9,0),4)</f>
        <v>0.93220000000000003</v>
      </c>
      <c r="S18" s="274">
        <f>ROUND(VLOOKUP(MID($E18,4,3),'Wochentag F(WT)'!$B$7:$J$22,S$9,0),4)</f>
        <v>0.98939999999999995</v>
      </c>
      <c r="T18" s="274">
        <f>ROUND(VLOOKUP(MID($E18,4,3),'Wochentag F(WT)'!$B$7:$J$22,T$9,0),4)</f>
        <v>1.0033000000000001</v>
      </c>
      <c r="U18" s="274">
        <f>ROUND(VLOOKUP(MID($E18,4,3),'Wochentag F(WT)'!$B$7:$J$22,U$9,0),4)</f>
        <v>1.0108999999999999</v>
      </c>
      <c r="V18" s="274">
        <f>ROUND(VLOOKUP(MID($E18,4,3),'Wochentag F(WT)'!$B$7:$J$22,V$9,0),4)</f>
        <v>1.018</v>
      </c>
      <c r="W18" s="274">
        <f>ROUND(VLOOKUP(MID($E18,4,3),'Wochentag F(WT)'!$B$7:$J$22,W$9,0),4)</f>
        <v>1.0356000000000001</v>
      </c>
      <c r="X18" s="275">
        <f t="shared" si="2"/>
        <v>1.0106000000000002</v>
      </c>
      <c r="Y18" s="292"/>
      <c r="Z18" s="210"/>
    </row>
    <row r="19" spans="2:26" s="142" customFormat="1">
      <c r="B19" s="143">
        <v>8</v>
      </c>
      <c r="C19" s="144" t="str">
        <f t="shared" si="0"/>
        <v>OGE/OGR</v>
      </c>
      <c r="D19" s="62" t="s">
        <v>246</v>
      </c>
      <c r="E19" s="164" t="s">
        <v>672</v>
      </c>
      <c r="F19" s="296" t="str">
        <f>VLOOKUP($E19,'BDEW-Standard'!$B$3:$M$158,F$9,0)</f>
        <v>GB4</v>
      </c>
      <c r="H19" s="273">
        <f>ROUND(VLOOKUP($E19,'BDEW-Standard'!$B$3:$M$158,H$9,0),7)</f>
        <v>3.6017736</v>
      </c>
      <c r="I19" s="273">
        <f>ROUND(VLOOKUP($E19,'BDEW-Standard'!$B$3:$M$158,I$9,0),7)</f>
        <v>-37.882536799999997</v>
      </c>
      <c r="J19" s="273">
        <f>ROUND(VLOOKUP($E19,'BDEW-Standard'!$B$3:$M$158,J$9,0),7)</f>
        <v>6.9836070000000001</v>
      </c>
      <c r="K19" s="273">
        <f>ROUND(VLOOKUP($E19,'BDEW-Standard'!$B$3:$M$158,K$9,0),7)</f>
        <v>5.4826199999999999E-2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0.90239375975311864</v>
      </c>
      <c r="R19" s="274">
        <f>ROUND(VLOOKUP(MID($E19,4,3),'Wochentag F(WT)'!$B$7:$J$22,R$9,0),4)</f>
        <v>0.98970000000000002</v>
      </c>
      <c r="S19" s="274">
        <f>ROUND(VLOOKUP(MID($E19,4,3),'Wochentag F(WT)'!$B$7:$J$22,S$9,0),4)</f>
        <v>0.9627</v>
      </c>
      <c r="T19" s="274">
        <f>ROUND(VLOOKUP(MID($E19,4,3),'Wochentag F(WT)'!$B$7:$J$22,T$9,0),4)</f>
        <v>1.0507</v>
      </c>
      <c r="U19" s="274">
        <f>ROUND(VLOOKUP(MID($E19,4,3),'Wochentag F(WT)'!$B$7:$J$22,U$9,0),4)</f>
        <v>1.0551999999999999</v>
      </c>
      <c r="V19" s="274">
        <f>ROUND(VLOOKUP(MID($E19,4,3),'Wochentag F(WT)'!$B$7:$J$22,V$9,0),4)</f>
        <v>1.0297000000000001</v>
      </c>
      <c r="W19" s="274">
        <f>ROUND(VLOOKUP(MID($E19,4,3),'Wochentag F(WT)'!$B$7:$J$22,W$9,0),4)</f>
        <v>0.97670000000000001</v>
      </c>
      <c r="X19" s="275">
        <f t="shared" si="2"/>
        <v>0.9352999999999998</v>
      </c>
      <c r="Y19" s="292"/>
      <c r="Z19" s="210"/>
    </row>
    <row r="20" spans="2:26" s="142" customFormat="1">
      <c r="B20" s="143">
        <v>9</v>
      </c>
      <c r="C20" s="144" t="str">
        <f t="shared" si="0"/>
        <v>OGE/OGR</v>
      </c>
      <c r="D20" s="62" t="s">
        <v>246</v>
      </c>
      <c r="E20" s="164" t="s">
        <v>673</v>
      </c>
      <c r="F20" s="296" t="str">
        <f>VLOOKUP($E20,'BDEW-Standard'!$B$3:$M$158,F$9,0)</f>
        <v>GB5</v>
      </c>
      <c r="H20" s="273">
        <f>ROUND(VLOOKUP($E20,'BDEW-Standard'!$B$3:$M$158,H$9,0),7)</f>
        <v>3.9320531999999999</v>
      </c>
      <c r="I20" s="273">
        <f>ROUND(VLOOKUP($E20,'BDEW-Standard'!$B$3:$M$158,I$9,0),7)</f>
        <v>-38.143324800000002</v>
      </c>
      <c r="J20" s="273">
        <f>ROUND(VLOOKUP($E20,'BDEW-Standard'!$B$3:$M$158,J$9,0),7)</f>
        <v>7.6185871000000001</v>
      </c>
      <c r="K20" s="273">
        <f>ROUND(VLOOKUP($E20,'BDEW-Standard'!$B$3:$M$158,K$9,0),7)</f>
        <v>2.30297E-2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0.84030497703104434</v>
      </c>
      <c r="R20" s="274">
        <f>ROUND(VLOOKUP(MID($E20,4,3),'Wochentag F(WT)'!$B$7:$J$22,R$9,0),4)</f>
        <v>0.98970000000000002</v>
      </c>
      <c r="S20" s="274">
        <f>ROUND(VLOOKUP(MID($E20,4,3),'Wochentag F(WT)'!$B$7:$J$22,S$9,0),4)</f>
        <v>0.9627</v>
      </c>
      <c r="T20" s="274">
        <f>ROUND(VLOOKUP(MID($E20,4,3),'Wochentag F(WT)'!$B$7:$J$22,T$9,0),4)</f>
        <v>1.0507</v>
      </c>
      <c r="U20" s="274">
        <f>ROUND(VLOOKUP(MID($E20,4,3),'Wochentag F(WT)'!$B$7:$J$22,U$9,0),4)</f>
        <v>1.0551999999999999</v>
      </c>
      <c r="V20" s="274">
        <f>ROUND(VLOOKUP(MID($E20,4,3),'Wochentag F(WT)'!$B$7:$J$22,V$9,0),4)</f>
        <v>1.0297000000000001</v>
      </c>
      <c r="W20" s="274">
        <f>ROUND(VLOOKUP(MID($E20,4,3),'Wochentag F(WT)'!$B$7:$J$22,W$9,0),4)</f>
        <v>0.97670000000000001</v>
      </c>
      <c r="X20" s="275">
        <f t="shared" si="2"/>
        <v>0.9352999999999998</v>
      </c>
      <c r="Y20" s="292"/>
      <c r="Z20" s="210"/>
    </row>
    <row r="21" spans="2:26" s="142" customFormat="1">
      <c r="B21" s="143">
        <v>10</v>
      </c>
      <c r="C21" s="144" t="str">
        <f t="shared" si="0"/>
        <v>OGE/OGR</v>
      </c>
      <c r="D21" s="62" t="s">
        <v>246</v>
      </c>
      <c r="E21" s="164" t="s">
        <v>674</v>
      </c>
      <c r="F21" s="296" t="str">
        <f>VLOOKUP($E21,'BDEW-Standard'!$B$3:$M$158,F$9,0)</f>
        <v>HA3</v>
      </c>
      <c r="H21" s="273">
        <f>ROUND(VLOOKUP($E21,'BDEW-Standard'!$B$3:$M$158,H$9,0),7)</f>
        <v>3.5811213999999998</v>
      </c>
      <c r="I21" s="273">
        <f>ROUND(VLOOKUP($E21,'BDEW-Standard'!$B$3:$M$158,I$9,0),7)</f>
        <v>-36.965006500000001</v>
      </c>
      <c r="J21" s="273">
        <f>ROUND(VLOOKUP($E21,'BDEW-Standard'!$B$3:$M$158,J$9,0),7)</f>
        <v>7.2256947</v>
      </c>
      <c r="K21" s="273">
        <f>ROUND(VLOOKUP($E21,'BDEW-Standard'!$B$3:$M$158,K$9,0),7)</f>
        <v>4.4841600000000002E-2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0.97852945357176691</v>
      </c>
      <c r="R21" s="274">
        <f>ROUND(VLOOKUP(MID($E21,4,3),'Wochentag F(WT)'!$B$7:$J$22,R$9,0),4)</f>
        <v>1.0358000000000001</v>
      </c>
      <c r="S21" s="274">
        <f>ROUND(VLOOKUP(MID($E21,4,3),'Wochentag F(WT)'!$B$7:$J$22,S$9,0),4)</f>
        <v>1.0232000000000001</v>
      </c>
      <c r="T21" s="274">
        <f>ROUND(VLOOKUP(MID($E21,4,3),'Wochentag F(WT)'!$B$7:$J$22,T$9,0),4)</f>
        <v>1.0251999999999999</v>
      </c>
      <c r="U21" s="274">
        <f>ROUND(VLOOKUP(MID($E21,4,3),'Wochentag F(WT)'!$B$7:$J$22,U$9,0),4)</f>
        <v>1.0295000000000001</v>
      </c>
      <c r="V21" s="274">
        <f>ROUND(VLOOKUP(MID($E21,4,3),'Wochentag F(WT)'!$B$7:$J$22,V$9,0),4)</f>
        <v>1.0253000000000001</v>
      </c>
      <c r="W21" s="274">
        <f>ROUND(VLOOKUP(MID($E21,4,3),'Wochentag F(WT)'!$B$7:$J$22,W$9,0),4)</f>
        <v>0.96750000000000003</v>
      </c>
      <c r="X21" s="275">
        <f t="shared" si="2"/>
        <v>0.89350000000000041</v>
      </c>
      <c r="Y21" s="292"/>
      <c r="Z21" s="210"/>
    </row>
    <row r="22" spans="2:26" s="142" customFormat="1">
      <c r="B22" s="143">
        <v>11</v>
      </c>
      <c r="C22" s="144" t="str">
        <f t="shared" si="0"/>
        <v>OGE/OGR</v>
      </c>
      <c r="D22" s="62" t="s">
        <v>246</v>
      </c>
      <c r="E22" s="164" t="s">
        <v>675</v>
      </c>
      <c r="F22" s="296" t="str">
        <f>VLOOKUP($E22,'BDEW-Standard'!$B$3:$M$158,F$9,0)</f>
        <v>HA5</v>
      </c>
      <c r="H22" s="273">
        <f>ROUND(VLOOKUP($E22,'BDEW-Standard'!$B$3:$M$158,H$9,0),7)</f>
        <v>4.8252376000000003</v>
      </c>
      <c r="I22" s="273">
        <f>ROUND(VLOOKUP($E22,'BDEW-Standard'!$B$3:$M$158,I$9,0),7)</f>
        <v>-39.280256399999999</v>
      </c>
      <c r="J22" s="273">
        <f>ROUND(VLOOKUP($E22,'BDEW-Standard'!$B$3:$M$158,J$9,0),7)</f>
        <v>8.6240217000000001</v>
      </c>
      <c r="K22" s="273">
        <f>ROUND(VLOOKUP($E22,'BDEW-Standard'!$B$3:$M$158,K$9,0),7)</f>
        <v>9.9944999999999999E-3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0.7135891999263051</v>
      </c>
      <c r="R22" s="274">
        <f>ROUND(VLOOKUP(MID($E22,4,3),'Wochentag F(WT)'!$B$7:$J$22,R$9,0),4)</f>
        <v>1.0358000000000001</v>
      </c>
      <c r="S22" s="274">
        <f>ROUND(VLOOKUP(MID($E22,4,3),'Wochentag F(WT)'!$B$7:$J$22,S$9,0),4)</f>
        <v>1.0232000000000001</v>
      </c>
      <c r="T22" s="274">
        <f>ROUND(VLOOKUP(MID($E22,4,3),'Wochentag F(WT)'!$B$7:$J$22,T$9,0),4)</f>
        <v>1.0251999999999999</v>
      </c>
      <c r="U22" s="274">
        <f>ROUND(VLOOKUP(MID($E22,4,3),'Wochentag F(WT)'!$B$7:$J$22,U$9,0),4)</f>
        <v>1.0295000000000001</v>
      </c>
      <c r="V22" s="274">
        <f>ROUND(VLOOKUP(MID($E22,4,3),'Wochentag F(WT)'!$B$7:$J$22,V$9,0),4)</f>
        <v>1.0253000000000001</v>
      </c>
      <c r="W22" s="274">
        <f>ROUND(VLOOKUP(MID($E22,4,3),'Wochentag F(WT)'!$B$7:$J$22,W$9,0),4)</f>
        <v>0.96750000000000003</v>
      </c>
      <c r="X22" s="275">
        <f t="shared" si="2"/>
        <v>0.89350000000000041</v>
      </c>
      <c r="Y22" s="292"/>
      <c r="Z22" s="210"/>
    </row>
    <row r="23" spans="2:26" s="142" customFormat="1">
      <c r="B23" s="143">
        <v>12</v>
      </c>
      <c r="C23" s="144" t="str">
        <f t="shared" si="0"/>
        <v>OGE/OGR</v>
      </c>
      <c r="D23" s="62" t="s">
        <v>246</v>
      </c>
      <c r="E23" s="164" t="s">
        <v>676</v>
      </c>
      <c r="F23" s="296" t="str">
        <f>VLOOKUP($E23,'BDEW-Standard'!$B$3:$M$158,F$9,0)</f>
        <v>KO3</v>
      </c>
      <c r="H23" s="273">
        <f>ROUND(VLOOKUP($E23,'BDEW-Standard'!$B$3:$M$158,H$9,0),7)</f>
        <v>2.7172288</v>
      </c>
      <c r="I23" s="273">
        <f>ROUND(VLOOKUP($E23,'BDEW-Standard'!$B$3:$M$158,I$9,0),7)</f>
        <v>-35.141256300000002</v>
      </c>
      <c r="J23" s="273">
        <f>ROUND(VLOOKUP($E23,'BDEW-Standard'!$B$3:$M$158,J$9,0),7)</f>
        <v>7.1303394999999998</v>
      </c>
      <c r="K23" s="273">
        <f>ROUND(VLOOKUP($E23,'BDEW-Standard'!$B$3:$M$158,K$9,0),7)</f>
        <v>0.14184720000000001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1.0630299199876638</v>
      </c>
      <c r="R23" s="274">
        <f>ROUND(VLOOKUP(MID($E23,4,3),'Wochentag F(WT)'!$B$7:$J$22,R$9,0),4)</f>
        <v>1.0354000000000001</v>
      </c>
      <c r="S23" s="274">
        <f>ROUND(VLOOKUP(MID($E23,4,3),'Wochentag F(WT)'!$B$7:$J$22,S$9,0),4)</f>
        <v>1.0523</v>
      </c>
      <c r="T23" s="274">
        <f>ROUND(VLOOKUP(MID($E23,4,3),'Wochentag F(WT)'!$B$7:$J$22,T$9,0),4)</f>
        <v>1.0448999999999999</v>
      </c>
      <c r="U23" s="274">
        <f>ROUND(VLOOKUP(MID($E23,4,3),'Wochentag F(WT)'!$B$7:$J$22,U$9,0),4)</f>
        <v>1.0494000000000001</v>
      </c>
      <c r="V23" s="274">
        <f>ROUND(VLOOKUP(MID($E23,4,3),'Wochentag F(WT)'!$B$7:$J$22,V$9,0),4)</f>
        <v>0.98850000000000005</v>
      </c>
      <c r="W23" s="274">
        <f>ROUND(VLOOKUP(MID($E23,4,3),'Wochentag F(WT)'!$B$7:$J$22,W$9,0),4)</f>
        <v>0.88600000000000001</v>
      </c>
      <c r="X23" s="275">
        <f t="shared" si="2"/>
        <v>0.94349999999999934</v>
      </c>
      <c r="Y23" s="292"/>
      <c r="Z23" s="210"/>
    </row>
    <row r="24" spans="2:26" s="142" customFormat="1">
      <c r="B24" s="143">
        <v>13</v>
      </c>
      <c r="C24" s="144" t="str">
        <f t="shared" si="0"/>
        <v>OGE/OGR</v>
      </c>
      <c r="D24" s="62" t="s">
        <v>246</v>
      </c>
      <c r="E24" s="164" t="s">
        <v>677</v>
      </c>
      <c r="F24" s="296" t="str">
        <f>VLOOKUP($E24,'BDEW-Standard'!$B$3:$M$158,F$9,0)</f>
        <v>KO4</v>
      </c>
      <c r="H24" s="273">
        <f>ROUND(VLOOKUP($E24,'BDEW-Standard'!$B$3:$M$158,H$9,0),7)</f>
        <v>3.4428942999999999</v>
      </c>
      <c r="I24" s="273">
        <f>ROUND(VLOOKUP($E24,'BDEW-Standard'!$B$3:$M$158,I$9,0),7)</f>
        <v>-36.659050399999998</v>
      </c>
      <c r="J24" s="273">
        <f>ROUND(VLOOKUP($E24,'BDEW-Standard'!$B$3:$M$158,J$9,0),7)</f>
        <v>7.6083226000000002</v>
      </c>
      <c r="K24" s="273">
        <f>ROUND(VLOOKUP($E24,'BDEW-Standard'!$B$3:$M$158,K$9,0),7)</f>
        <v>7.4685000000000001E-2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0.97768382110526542</v>
      </c>
      <c r="R24" s="274">
        <f>ROUND(VLOOKUP(MID($E24,4,3),'Wochentag F(WT)'!$B$7:$J$22,R$9,0),4)</f>
        <v>1.0354000000000001</v>
      </c>
      <c r="S24" s="274">
        <f>ROUND(VLOOKUP(MID($E24,4,3),'Wochentag F(WT)'!$B$7:$J$22,S$9,0),4)</f>
        <v>1.0523</v>
      </c>
      <c r="T24" s="274">
        <f>ROUND(VLOOKUP(MID($E24,4,3),'Wochentag F(WT)'!$B$7:$J$22,T$9,0),4)</f>
        <v>1.0448999999999999</v>
      </c>
      <c r="U24" s="274">
        <f>ROUND(VLOOKUP(MID($E24,4,3),'Wochentag F(WT)'!$B$7:$J$22,U$9,0),4)</f>
        <v>1.0494000000000001</v>
      </c>
      <c r="V24" s="274">
        <f>ROUND(VLOOKUP(MID($E24,4,3),'Wochentag F(WT)'!$B$7:$J$22,V$9,0),4)</f>
        <v>0.98850000000000005</v>
      </c>
      <c r="W24" s="274">
        <f>ROUND(VLOOKUP(MID($E24,4,3),'Wochentag F(WT)'!$B$7:$J$22,W$9,0),4)</f>
        <v>0.88600000000000001</v>
      </c>
      <c r="X24" s="275">
        <f t="shared" si="2"/>
        <v>0.94349999999999934</v>
      </c>
      <c r="Y24" s="292"/>
      <c r="Z24" s="210"/>
    </row>
    <row r="25" spans="2:26" s="142" customFormat="1">
      <c r="B25" s="143">
        <v>14</v>
      </c>
      <c r="C25" s="144" t="str">
        <f t="shared" si="0"/>
        <v>OGE/OGR</v>
      </c>
      <c r="D25" s="62" t="s">
        <v>246</v>
      </c>
      <c r="E25" s="164" t="s">
        <v>678</v>
      </c>
      <c r="F25" s="296" t="str">
        <f>VLOOKUP($E25,'BDEW-Standard'!$B$3:$M$158,F$9,0)</f>
        <v>KO5</v>
      </c>
      <c r="H25" s="273">
        <f>ROUND(VLOOKUP($E25,'BDEW-Standard'!$B$3:$M$158,H$9,0),7)</f>
        <v>4.3624833000000001</v>
      </c>
      <c r="I25" s="273">
        <f>ROUND(VLOOKUP($E25,'BDEW-Standard'!$B$3:$M$158,I$9,0),7)</f>
        <v>-38.6634022</v>
      </c>
      <c r="J25" s="273">
        <f>ROUND(VLOOKUP($E25,'BDEW-Standard'!$B$3:$M$158,J$9,0),7)</f>
        <v>7.5974643999999998</v>
      </c>
      <c r="K25" s="273">
        <f>ROUND(VLOOKUP($E25,'BDEW-Standard'!$B$3:$M$158,K$9,0),7)</f>
        <v>8.3263999999999994E-3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0.84588853011795484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2"/>
        <v>0.94349999999999934</v>
      </c>
      <c r="Y25" s="292"/>
      <c r="Z25" s="210"/>
    </row>
    <row r="26" spans="2:26" s="142" customFormat="1">
      <c r="B26" s="143">
        <v>15</v>
      </c>
      <c r="C26" s="144" t="str">
        <f t="shared" si="0"/>
        <v>OGE/OGR</v>
      </c>
      <c r="D26" s="62" t="s">
        <v>246</v>
      </c>
      <c r="E26" s="164" t="s">
        <v>679</v>
      </c>
      <c r="F26" s="296" t="str">
        <f>VLOOKUP($E26,'BDEW-Standard'!$B$3:$M$158,F$9,0)</f>
        <v>MK3</v>
      </c>
      <c r="H26" s="273">
        <f>ROUND(VLOOKUP($E26,'BDEW-Standard'!$B$3:$M$158,H$9,0),7)</f>
        <v>2.7882424000000001</v>
      </c>
      <c r="I26" s="273">
        <f>ROUND(VLOOKUP($E26,'BDEW-Standard'!$B$3:$M$158,I$9,0),7)</f>
        <v>-34.880612999999997</v>
      </c>
      <c r="J26" s="273">
        <f>ROUND(VLOOKUP($E26,'BDEW-Standard'!$B$3:$M$158,J$9,0),7)</f>
        <v>6.5951899000000003</v>
      </c>
      <c r="K26" s="273">
        <f>ROUND(VLOOKUP($E26,'BDEW-Standard'!$B$3:$M$158,K$9,0),7)</f>
        <v>5.4032900000000002E-2</v>
      </c>
      <c r="L26" s="337">
        <f>ROUND(VLOOKUP($E26,'BDEW-Standard'!$B$3:$M$158,L$9,0),1)</f>
        <v>40</v>
      </c>
      <c r="M26" s="273">
        <f>ROUND(VLOOKUP($E26,'BDEW-Standard'!$B$3:$M$158,M$9,0),7)</f>
        <v>0</v>
      </c>
      <c r="N26" s="273">
        <f>ROUND(VLOOKUP($E26,'BDEW-Standard'!$B$3:$M$158,N$9,0),7)</f>
        <v>0</v>
      </c>
      <c r="O26" s="273">
        <f>ROUND(VLOOKUP($E26,'BDEW-Standard'!$B$3:$M$158,O$9,0),7)</f>
        <v>0</v>
      </c>
      <c r="P26" s="273">
        <f>ROUND(VLOOKUP($E26,'BDEW-Standard'!$B$3:$M$158,P$9,0),7)</f>
        <v>0</v>
      </c>
      <c r="Q26" s="338">
        <f t="shared" si="1"/>
        <v>1.0622306107520199</v>
      </c>
      <c r="R26" s="274">
        <f>ROUND(VLOOKUP(MID($E26,4,3),'Wochentag F(WT)'!$B$7:$J$22,R$9,0),4)</f>
        <v>1.0699000000000001</v>
      </c>
      <c r="S26" s="274">
        <f>ROUND(VLOOKUP(MID($E26,4,3),'Wochentag F(WT)'!$B$7:$J$22,S$9,0),4)</f>
        <v>1.0365</v>
      </c>
      <c r="T26" s="274">
        <f>ROUND(VLOOKUP(MID($E26,4,3),'Wochentag F(WT)'!$B$7:$J$22,T$9,0),4)</f>
        <v>0.99329999999999996</v>
      </c>
      <c r="U26" s="274">
        <f>ROUND(VLOOKUP(MID($E26,4,3),'Wochentag F(WT)'!$B$7:$J$22,U$9,0),4)</f>
        <v>0.99480000000000002</v>
      </c>
      <c r="V26" s="274">
        <f>ROUND(VLOOKUP(MID($E26,4,3),'Wochentag F(WT)'!$B$7:$J$22,V$9,0),4)</f>
        <v>1.0659000000000001</v>
      </c>
      <c r="W26" s="274">
        <f>ROUND(VLOOKUP(MID($E26,4,3),'Wochentag F(WT)'!$B$7:$J$22,W$9,0),4)</f>
        <v>0.93620000000000003</v>
      </c>
      <c r="X26" s="275">
        <f t="shared" si="2"/>
        <v>0.90339999999999954</v>
      </c>
      <c r="Y26" s="292"/>
      <c r="Z26" s="210"/>
    </row>
    <row r="27" spans="2:26" s="142" customFormat="1">
      <c r="B27" s="143">
        <v>16</v>
      </c>
      <c r="C27" s="144" t="str">
        <f t="shared" si="0"/>
        <v>OGE/OGR</v>
      </c>
      <c r="D27" s="62" t="s">
        <v>246</v>
      </c>
      <c r="E27" s="165" t="s">
        <v>680</v>
      </c>
      <c r="F27" s="296" t="str">
        <f>VLOOKUP($E27,'BDEW-Standard'!$B$3:$M$158,F$9,0)</f>
        <v>MK5</v>
      </c>
      <c r="H27" s="273">
        <f>ROUND(VLOOKUP($E27,'BDEW-Standard'!$B$3:$M$158,H$9,0),7)</f>
        <v>3.5862354999999999</v>
      </c>
      <c r="I27" s="273">
        <f>ROUND(VLOOKUP($E27,'BDEW-Standard'!$B$3:$M$158,I$9,0),7)</f>
        <v>-37.080299400000001</v>
      </c>
      <c r="J27" s="273">
        <f>ROUND(VLOOKUP($E27,'BDEW-Standard'!$B$3:$M$158,J$9,0),7)</f>
        <v>8.2420571999999996</v>
      </c>
      <c r="K27" s="273">
        <f>ROUND(VLOOKUP($E27,'BDEW-Standard'!$B$3:$M$158,K$9,0),7)</f>
        <v>1.4600800000000001E-2</v>
      </c>
      <c r="L27" s="337">
        <f>ROUND(VLOOKUP($E27,'BDEW-Standard'!$B$3:$M$158,L$9,0),1)</f>
        <v>40</v>
      </c>
      <c r="M27" s="273">
        <f>ROUND(VLOOKUP($E27,'BDEW-Standard'!$B$3:$M$158,M$9,0),7)</f>
        <v>0</v>
      </c>
      <c r="N27" s="273">
        <f>ROUND(VLOOKUP($E27,'BDEW-Standard'!$B$3:$M$158,N$9,0),7)</f>
        <v>0</v>
      </c>
      <c r="O27" s="273">
        <f>ROUND(VLOOKUP($E27,'BDEW-Standard'!$B$3:$M$158,O$9,0),7)</f>
        <v>0</v>
      </c>
      <c r="P27" s="273">
        <f>ROUND(VLOOKUP($E27,'BDEW-Standard'!$B$3:$M$158,P$9,0),7)</f>
        <v>0</v>
      </c>
      <c r="Q27" s="338">
        <f t="shared" si="1"/>
        <v>0.83553215880324316</v>
      </c>
      <c r="R27" s="274">
        <f>ROUND(VLOOKUP(MID($E27,4,3),'Wochentag F(WT)'!$B$7:$J$22,R$9,0),4)</f>
        <v>1.0699000000000001</v>
      </c>
      <c r="S27" s="274">
        <f>ROUND(VLOOKUP(MID($E27,4,3),'Wochentag F(WT)'!$B$7:$J$22,S$9,0),4)</f>
        <v>1.0365</v>
      </c>
      <c r="T27" s="274">
        <f>ROUND(VLOOKUP(MID($E27,4,3),'Wochentag F(WT)'!$B$7:$J$22,T$9,0),4)</f>
        <v>0.99329999999999996</v>
      </c>
      <c r="U27" s="274">
        <f>ROUND(VLOOKUP(MID($E27,4,3),'Wochentag F(WT)'!$B$7:$J$22,U$9,0),4)</f>
        <v>0.99480000000000002</v>
      </c>
      <c r="V27" s="274">
        <f>ROUND(VLOOKUP(MID($E27,4,3),'Wochentag F(WT)'!$B$7:$J$22,V$9,0),4)</f>
        <v>1.0659000000000001</v>
      </c>
      <c r="W27" s="274">
        <f>ROUND(VLOOKUP(MID($E27,4,3),'Wochentag F(WT)'!$B$7:$J$22,W$9,0),4)</f>
        <v>0.93620000000000003</v>
      </c>
      <c r="X27" s="275">
        <f t="shared" si="2"/>
        <v>0.90339999999999954</v>
      </c>
      <c r="Y27" s="292"/>
    </row>
    <row r="28" spans="2:26" s="142" customFormat="1">
      <c r="B28" s="143">
        <v>17</v>
      </c>
      <c r="C28" s="144" t="str">
        <f t="shared" si="0"/>
        <v>OGE/OGR</v>
      </c>
      <c r="D28" s="62" t="s">
        <v>246</v>
      </c>
      <c r="E28" s="165" t="s">
        <v>681</v>
      </c>
      <c r="F28" s="296" t="str">
        <f>VLOOKUP($E28,'BDEW-Standard'!$B$3:$M$158,F$9,0)</f>
        <v>PD3</v>
      </c>
      <c r="H28" s="273">
        <f>ROUND(VLOOKUP($E28,'BDEW-Standard'!$B$3:$M$158,H$9,0),7)</f>
        <v>3.2</v>
      </c>
      <c r="I28" s="273">
        <f>ROUND(VLOOKUP($E28,'BDEW-Standard'!$B$3:$M$158,I$9,0),7)</f>
        <v>-35.799999999999997</v>
      </c>
      <c r="J28" s="273">
        <f>ROUND(VLOOKUP($E28,'BDEW-Standard'!$B$3:$M$158,J$9,0),7)</f>
        <v>8.4</v>
      </c>
      <c r="K28" s="273">
        <f>ROUND(VLOOKUP($E28,'BDEW-Standard'!$B$3:$M$158,K$9,0),7)</f>
        <v>9.3848600000000004E-2</v>
      </c>
      <c r="L28" s="337">
        <f>ROUND(VLOOKUP($E28,'BDEW-Standard'!$B$3:$M$158,L$9,0),1)</f>
        <v>40</v>
      </c>
      <c r="M28" s="273">
        <f>ROUND(VLOOKUP($E28,'BDEW-Standard'!$B$3:$M$158,M$9,0),7)</f>
        <v>0</v>
      </c>
      <c r="N28" s="273">
        <f>ROUND(VLOOKUP($E28,'BDEW-Standard'!$B$3:$M$158,N$9,0),7)</f>
        <v>0</v>
      </c>
      <c r="O28" s="273">
        <f>ROUND(VLOOKUP($E28,'BDEW-Standard'!$B$3:$M$158,O$9,0),7)</f>
        <v>0</v>
      </c>
      <c r="P28" s="273">
        <f>ROUND(VLOOKUP($E28,'BDEW-Standard'!$B$3:$M$158,P$9,0),7)</f>
        <v>0</v>
      </c>
      <c r="Q28" s="338">
        <f t="shared" si="1"/>
        <v>0.99106250024889242</v>
      </c>
      <c r="R28" s="274">
        <f>ROUND(VLOOKUP(MID($E28,4,3),'Wochentag F(WT)'!$B$7:$J$22,R$9,0),4)</f>
        <v>1.0214000000000001</v>
      </c>
      <c r="S28" s="274">
        <f>ROUND(VLOOKUP(MID($E28,4,3),'Wochentag F(WT)'!$B$7:$J$22,S$9,0),4)</f>
        <v>1.0866</v>
      </c>
      <c r="T28" s="274">
        <f>ROUND(VLOOKUP(MID($E28,4,3),'Wochentag F(WT)'!$B$7:$J$22,T$9,0),4)</f>
        <v>1.0720000000000001</v>
      </c>
      <c r="U28" s="274">
        <f>ROUND(VLOOKUP(MID($E28,4,3),'Wochentag F(WT)'!$B$7:$J$22,U$9,0),4)</f>
        <v>1.0557000000000001</v>
      </c>
      <c r="V28" s="274">
        <f>ROUND(VLOOKUP(MID($E28,4,3),'Wochentag F(WT)'!$B$7:$J$22,V$9,0),4)</f>
        <v>1.0117</v>
      </c>
      <c r="W28" s="274">
        <f>ROUND(VLOOKUP(MID($E28,4,3),'Wochentag F(WT)'!$B$7:$J$22,W$9,0),4)</f>
        <v>0.90010000000000001</v>
      </c>
      <c r="X28" s="275">
        <f t="shared" si="2"/>
        <v>0.85249999999999915</v>
      </c>
      <c r="Y28" s="292"/>
    </row>
    <row r="29" spans="2:26" s="142" customFormat="1">
      <c r="B29" s="143">
        <v>18</v>
      </c>
      <c r="C29" s="144" t="str">
        <f t="shared" si="0"/>
        <v>OGE/OGR</v>
      </c>
      <c r="D29" s="62" t="s">
        <v>246</v>
      </c>
      <c r="E29" s="165" t="s">
        <v>682</v>
      </c>
      <c r="F29" s="296" t="str">
        <f>VLOOKUP($E29,'BDEW-Standard'!$B$3:$M$158,F$9,0)</f>
        <v>WA3</v>
      </c>
      <c r="H29" s="273">
        <f>ROUND(VLOOKUP($E29,'BDEW-Standard'!$B$3:$M$158,H$9,0),7)</f>
        <v>0.76572899999999999</v>
      </c>
      <c r="I29" s="273">
        <f>ROUND(VLOOKUP($E29,'BDEW-Standard'!$B$3:$M$158,I$9,0),7)</f>
        <v>-36.023791199999998</v>
      </c>
      <c r="J29" s="273">
        <f>ROUND(VLOOKUP($E29,'BDEW-Standard'!$B$3:$M$158,J$9,0),7)</f>
        <v>4.8662747</v>
      </c>
      <c r="K29" s="273">
        <f>ROUND(VLOOKUP($E29,'BDEW-Standard'!$B$3:$M$158,K$9,0),7)</f>
        <v>0.80494250000000001</v>
      </c>
      <c r="L29" s="337">
        <f>ROUND(VLOOKUP($E29,'BDEW-Standard'!$B$3:$M$158,L$9,0),1)</f>
        <v>40</v>
      </c>
      <c r="M29" s="273">
        <f>ROUND(VLOOKUP($E29,'BDEW-Standard'!$B$3:$M$158,M$9,0),7)</f>
        <v>0</v>
      </c>
      <c r="N29" s="273">
        <f>ROUND(VLOOKUP($E29,'BDEW-Standard'!$B$3:$M$158,N$9,0),7)</f>
        <v>0</v>
      </c>
      <c r="O29" s="273">
        <f>ROUND(VLOOKUP($E29,'BDEW-Standard'!$B$3:$M$158,O$9,0),7)</f>
        <v>0</v>
      </c>
      <c r="P29" s="273">
        <f>ROUND(VLOOKUP($E29,'BDEW-Standard'!$B$3:$M$158,P$9,0),7)</f>
        <v>0</v>
      </c>
      <c r="Q29" s="338">
        <f t="shared" si="1"/>
        <v>1.0804258319686442</v>
      </c>
      <c r="R29" s="274">
        <f>ROUND(VLOOKUP(MID($E29,4,3),'Wochentag F(WT)'!$B$7:$J$22,R$9,0),4)</f>
        <v>1.2457</v>
      </c>
      <c r="S29" s="274">
        <f>ROUND(VLOOKUP(MID($E29,4,3),'Wochentag F(WT)'!$B$7:$J$22,S$9,0),4)</f>
        <v>1.2615000000000001</v>
      </c>
      <c r="T29" s="274">
        <f>ROUND(VLOOKUP(MID($E29,4,3),'Wochentag F(WT)'!$B$7:$J$22,T$9,0),4)</f>
        <v>1.2706999999999999</v>
      </c>
      <c r="U29" s="274">
        <f>ROUND(VLOOKUP(MID($E29,4,3),'Wochentag F(WT)'!$B$7:$J$22,U$9,0),4)</f>
        <v>1.2430000000000001</v>
      </c>
      <c r="V29" s="274">
        <f>ROUND(VLOOKUP(MID($E29,4,3),'Wochentag F(WT)'!$B$7:$J$22,V$9,0),4)</f>
        <v>1.1275999999999999</v>
      </c>
      <c r="W29" s="274">
        <f>ROUND(VLOOKUP(MID($E29,4,3),'Wochentag F(WT)'!$B$7:$J$22,W$9,0),4)</f>
        <v>0.38769999999999999</v>
      </c>
      <c r="X29" s="275">
        <f t="shared" si="2"/>
        <v>0.46379999999999999</v>
      </c>
      <c r="Y29" s="292"/>
    </row>
    <row r="30" spans="2:26" s="142" customFormat="1">
      <c r="B30" s="143">
        <v>19</v>
      </c>
      <c r="C30" s="144" t="str">
        <f t="shared" si="0"/>
        <v>OGE/OGR</v>
      </c>
      <c r="D30" s="62" t="s">
        <v>246</v>
      </c>
      <c r="E30" s="165" t="s">
        <v>683</v>
      </c>
      <c r="F30" s="296" t="str">
        <f>VLOOKUP($E30,'BDEW-Standard'!$B$3:$M$158,F$9,0)</f>
        <v>D14</v>
      </c>
      <c r="H30" s="273">
        <f>ROUND(VLOOKUP($E30,'BDEW-Standard'!$B$3:$M$158,H$9,0),7)</f>
        <v>3.1850190999999999</v>
      </c>
      <c r="I30" s="273">
        <f>ROUND(VLOOKUP($E30,'BDEW-Standard'!$B$3:$M$158,I$9,0),7)</f>
        <v>-37.412415500000002</v>
      </c>
      <c r="J30" s="273">
        <f>ROUND(VLOOKUP($E30,'BDEW-Standard'!$B$3:$M$158,J$9,0),7)</f>
        <v>6.1723179000000004</v>
      </c>
      <c r="K30" s="273">
        <f>ROUND(VLOOKUP($E30,'BDEW-Standard'!$B$3:$M$158,K$9,0),7)</f>
        <v>7.6109599999999999E-2</v>
      </c>
      <c r="L30" s="337">
        <f>ROUND(VLOOKUP($E30,'BDEW-Standard'!$B$3:$M$158,L$9,0),1)</f>
        <v>40</v>
      </c>
      <c r="M30" s="273">
        <f>ROUND(VLOOKUP($E30,'BDEW-Standard'!$B$3:$M$158,M$9,0),7)</f>
        <v>0</v>
      </c>
      <c r="N30" s="273">
        <f>ROUND(VLOOKUP($E30,'BDEW-Standard'!$B$3:$M$158,N$9,0),7)</f>
        <v>0</v>
      </c>
      <c r="O30" s="273">
        <f>ROUND(VLOOKUP($E30,'BDEW-Standard'!$B$3:$M$158,O$9,0),7)</f>
        <v>0</v>
      </c>
      <c r="P30" s="273">
        <f>ROUND(VLOOKUP($E30,'BDEW-Standard'!$B$3:$M$158,P$9,0),7)</f>
        <v>0</v>
      </c>
      <c r="Q30" s="338">
        <f t="shared" si="1"/>
        <v>0.95508749343949439</v>
      </c>
      <c r="R30" s="274">
        <f>ROUND(VLOOKUP(MID($E30,4,3),'Wochentag F(WT)'!$B$7:$J$22,R$9,0),4)</f>
        <v>1</v>
      </c>
      <c r="S30" s="274">
        <f>ROUND(VLOOKUP(MID($E30,4,3),'Wochentag F(WT)'!$B$7:$J$22,S$9,0),4)</f>
        <v>1</v>
      </c>
      <c r="T30" s="274">
        <f>ROUND(VLOOKUP(MID($E30,4,3),'Wochentag F(WT)'!$B$7:$J$22,T$9,0),4)</f>
        <v>1</v>
      </c>
      <c r="U30" s="274">
        <f>ROUND(VLOOKUP(MID($E30,4,3),'Wochentag F(WT)'!$B$7:$J$22,U$9,0),4)</f>
        <v>1</v>
      </c>
      <c r="V30" s="274">
        <f>ROUND(VLOOKUP(MID($E30,4,3),'Wochentag F(WT)'!$B$7:$J$22,V$9,0),4)</f>
        <v>1</v>
      </c>
      <c r="W30" s="274">
        <f>ROUND(VLOOKUP(MID($E30,4,3),'Wochentag F(WT)'!$B$7:$J$22,W$9,0),4)</f>
        <v>1</v>
      </c>
      <c r="X30" s="275">
        <f t="shared" si="2"/>
        <v>1</v>
      </c>
      <c r="Y30" s="292"/>
    </row>
    <row r="31" spans="2:26" s="142" customFormat="1">
      <c r="B31" s="143">
        <v>20</v>
      </c>
      <c r="C31" s="144" t="str">
        <f t="shared" si="0"/>
        <v>OGE/OGR</v>
      </c>
      <c r="D31" s="62" t="s">
        <v>246</v>
      </c>
      <c r="E31" s="165" t="s">
        <v>684</v>
      </c>
      <c r="F31" s="296" t="str">
        <f>VLOOKUP($E31,'BDEW-Standard'!$B$3:$M$158,F$9,0)</f>
        <v>D24</v>
      </c>
      <c r="H31" s="273">
        <f>ROUND(VLOOKUP($E31,'BDEW-Standard'!$B$3:$M$158,H$9,0),7)</f>
        <v>2.5187775000000001</v>
      </c>
      <c r="I31" s="273">
        <f>ROUND(VLOOKUP($E31,'BDEW-Standard'!$B$3:$M$158,I$9,0),7)</f>
        <v>-35.033375399999997</v>
      </c>
      <c r="J31" s="273">
        <f>ROUND(VLOOKUP($E31,'BDEW-Standard'!$B$3:$M$158,J$9,0),7)</f>
        <v>6.2240634000000004</v>
      </c>
      <c r="K31" s="273">
        <f>ROUND(VLOOKUP($E31,'BDEW-Standard'!$B$3:$M$158,K$9,0),7)</f>
        <v>0.10107820000000001</v>
      </c>
      <c r="L31" s="337">
        <f>ROUND(VLOOKUP($E31,'BDEW-Standard'!$B$3:$M$158,L$9,0),1)</f>
        <v>40</v>
      </c>
      <c r="M31" s="273">
        <f>ROUND(VLOOKUP($E31,'BDEW-Standard'!$B$3:$M$158,M$9,0),7)</f>
        <v>0</v>
      </c>
      <c r="N31" s="273">
        <f>ROUND(VLOOKUP($E31,'BDEW-Standard'!$B$3:$M$158,N$9,0),7)</f>
        <v>0</v>
      </c>
      <c r="O31" s="273">
        <f>ROUND(VLOOKUP($E31,'BDEW-Standard'!$B$3:$M$158,O$9,0),7)</f>
        <v>0</v>
      </c>
      <c r="P31" s="273">
        <f>ROUND(VLOOKUP($E31,'BDEW-Standard'!$B$3:$M$158,P$9,0),7)</f>
        <v>0</v>
      </c>
      <c r="Q31" s="338">
        <f t="shared" si="1"/>
        <v>1.0146273685996503</v>
      </c>
      <c r="R31" s="274">
        <f>ROUND(VLOOKUP(MID($E31,4,3),'Wochentag F(WT)'!$B$7:$J$22,R$9,0),4)</f>
        <v>1</v>
      </c>
      <c r="S31" s="274">
        <f>ROUND(VLOOKUP(MID($E31,4,3),'Wochentag F(WT)'!$B$7:$J$22,S$9,0),4)</f>
        <v>1</v>
      </c>
      <c r="T31" s="274">
        <f>ROUND(VLOOKUP(MID($E31,4,3),'Wochentag F(WT)'!$B$7:$J$22,T$9,0),4)</f>
        <v>1</v>
      </c>
      <c r="U31" s="274">
        <f>ROUND(VLOOKUP(MID($E31,4,3),'Wochentag F(WT)'!$B$7:$J$22,U$9,0),4)</f>
        <v>1</v>
      </c>
      <c r="V31" s="274">
        <f>ROUND(VLOOKUP(MID($E31,4,3),'Wochentag F(WT)'!$B$7:$J$22,V$9,0),4)</f>
        <v>1</v>
      </c>
      <c r="W31" s="274">
        <f>ROUND(VLOOKUP(MID($E31,4,3),'Wochentag F(WT)'!$B$7:$J$22,W$9,0),4)</f>
        <v>1</v>
      </c>
      <c r="X31" s="275">
        <f t="shared" si="2"/>
        <v>1</v>
      </c>
      <c r="Y31" s="292"/>
    </row>
    <row r="32" spans="2:26" s="142" customFormat="1">
      <c r="B32" s="143">
        <v>21</v>
      </c>
      <c r="C32" s="144" t="str">
        <f t="shared" si="0"/>
        <v>OGE/OGR</v>
      </c>
      <c r="D32" s="62" t="s">
        <v>246</v>
      </c>
      <c r="E32" s="165" t="s">
        <v>664</v>
      </c>
      <c r="F32" s="296" t="str">
        <f>VLOOKUP($E32,'BDEW-Standard'!$B$3:$M$158,F$9,0)</f>
        <v>BA3</v>
      </c>
      <c r="H32" s="273">
        <f>ROUND(VLOOKUP($E32,'BDEW-Standard'!$B$3:$M$158,H$9,0),7)</f>
        <v>0.62619619999999998</v>
      </c>
      <c r="I32" s="273">
        <f>ROUND(VLOOKUP($E32,'BDEW-Standard'!$B$3:$M$158,I$9,0),7)</f>
        <v>-33</v>
      </c>
      <c r="J32" s="273">
        <f>ROUND(VLOOKUP($E32,'BDEW-Standard'!$B$3:$M$158,J$9,0),7)</f>
        <v>5.7212303000000002</v>
      </c>
      <c r="K32" s="273">
        <f>ROUND(VLOOKUP($E32,'BDEW-Standard'!$B$3:$M$158,K$9,0),7)</f>
        <v>0.78556550000000003</v>
      </c>
      <c r="L32" s="337">
        <f>ROUND(VLOOKUP($E32,'BDEW-Standard'!$B$3:$M$158,L$9,0),1)</f>
        <v>40</v>
      </c>
      <c r="M32" s="273">
        <f>ROUND(VLOOKUP($E32,'BDEW-Standard'!$B$3:$M$158,M$9,0),7)</f>
        <v>0</v>
      </c>
      <c r="N32" s="273">
        <f>ROUND(VLOOKUP($E32,'BDEW-Standard'!$B$3:$M$158,N$9,0),7)</f>
        <v>0</v>
      </c>
      <c r="O32" s="273">
        <f>ROUND(VLOOKUP($E32,'BDEW-Standard'!$B$3:$M$158,O$9,0),7)</f>
        <v>0</v>
      </c>
      <c r="P32" s="273">
        <f>ROUND(VLOOKUP($E32,'BDEW-Standard'!$B$3:$M$158,P$9,0),7)</f>
        <v>0</v>
      </c>
      <c r="Q32" s="338">
        <f t="shared" si="1"/>
        <v>1.0711738317583412</v>
      </c>
      <c r="R32" s="274">
        <f>ROUND(VLOOKUP(MID($E32,4,3),'Wochentag F(WT)'!$B$7:$J$22,R$9,0),4)</f>
        <v>1.0848</v>
      </c>
      <c r="S32" s="274">
        <f>ROUND(VLOOKUP(MID($E32,4,3),'Wochentag F(WT)'!$B$7:$J$22,S$9,0),4)</f>
        <v>1.1211</v>
      </c>
      <c r="T32" s="274">
        <f>ROUND(VLOOKUP(MID($E32,4,3),'Wochentag F(WT)'!$B$7:$J$22,T$9,0),4)</f>
        <v>1.0769</v>
      </c>
      <c r="U32" s="274">
        <f>ROUND(VLOOKUP(MID($E32,4,3),'Wochentag F(WT)'!$B$7:$J$22,U$9,0),4)</f>
        <v>1.1353</v>
      </c>
      <c r="V32" s="274">
        <f>ROUND(VLOOKUP(MID($E32,4,3),'Wochentag F(WT)'!$B$7:$J$22,V$9,0),4)</f>
        <v>1.1402000000000001</v>
      </c>
      <c r="W32" s="274">
        <f>ROUND(VLOOKUP(MID($E32,4,3),'Wochentag F(WT)'!$B$7:$J$22,W$9,0),4)</f>
        <v>0.48520000000000002</v>
      </c>
      <c r="X32" s="275">
        <f t="shared" si="2"/>
        <v>0.95650000000000013</v>
      </c>
      <c r="Y32" s="292"/>
    </row>
    <row r="33" spans="2:25" s="142" customFormat="1">
      <c r="B33" s="143">
        <v>22</v>
      </c>
      <c r="C33" s="144" t="str">
        <f t="shared" si="0"/>
        <v>OGE/OGR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OGE/OGR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OGE/OGR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OGE/OGR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OGE/OGR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OGE/OGR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OGE/OGR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OGE/OGR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OGE/OGR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password="C6D4"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6 F12:P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Z25" sqref="Z2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Licht-, Kraft- und Wasserwerke Kitzingen GmbH</v>
      </c>
      <c r="D4" s="76"/>
      <c r="G4" s="76"/>
      <c r="I4" s="76"/>
      <c r="J4" s="77"/>
      <c r="M4" s="86" t="s">
        <v>537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OGE/OGR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9870033400001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467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581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468</v>
      </c>
      <c r="N10" s="97" t="s">
        <v>469</v>
      </c>
      <c r="O10" s="98" t="s">
        <v>470</v>
      </c>
      <c r="P10" s="99" t="s">
        <v>471</v>
      </c>
      <c r="Q10" s="99" t="s">
        <v>472</v>
      </c>
      <c r="R10" s="99" t="s">
        <v>473</v>
      </c>
      <c r="S10" s="99" t="s">
        <v>474</v>
      </c>
      <c r="T10" s="99" t="s">
        <v>475</v>
      </c>
      <c r="U10" s="99" t="s">
        <v>476</v>
      </c>
      <c r="V10" s="99" t="s">
        <v>477</v>
      </c>
      <c r="W10" s="99" t="s">
        <v>478</v>
      </c>
      <c r="X10" s="99" t="s">
        <v>479</v>
      </c>
      <c r="Y10" s="99" t="s">
        <v>480</v>
      </c>
      <c r="Z10" s="99" t="s">
        <v>481</v>
      </c>
      <c r="AA10" s="99" t="s">
        <v>482</v>
      </c>
      <c r="AB10" s="99" t="s">
        <v>483</v>
      </c>
      <c r="AC10" s="100" t="s">
        <v>484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1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1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>
        <v>1</v>
      </c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654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647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653</v>
      </c>
      <c r="C23" s="116"/>
      <c r="D23" s="111">
        <v>15</v>
      </c>
      <c r="E23" s="304">
        <f t="shared" si="0"/>
        <v>1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>
        <v>1</v>
      </c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1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>
        <v>1</v>
      </c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543</v>
      </c>
      <c r="N1" s="214"/>
    </row>
    <row r="2" spans="1:14" ht="25.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650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2578125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543</v>
      </c>
    </row>
    <row r="2" spans="1:16">
      <c r="A2" s="233"/>
      <c r="B2" s="232" t="s">
        <v>456</v>
      </c>
    </row>
    <row r="3" spans="1:16" ht="20.100000000000001" customHeight="1">
      <c r="A3" s="352" t="s">
        <v>247</v>
      </c>
      <c r="B3" s="234" t="s">
        <v>85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Visconto</cp:lastModifiedBy>
  <cp:lastPrinted>2015-03-20T22:59:10Z</cp:lastPrinted>
  <dcterms:created xsi:type="dcterms:W3CDTF">2015-01-15T05:25:41Z</dcterms:created>
  <dcterms:modified xsi:type="dcterms:W3CDTF">2018-07-19T07:05:28Z</dcterms:modified>
</cp:coreProperties>
</file>